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B63FF71-E714-4298-BCFA-7FAA45BA19BB}" xr6:coauthVersionLast="47" xr6:coauthVersionMax="47" xr10:uidLastSave="{00000000-0000-0000-0000-000000000000}"/>
  <bookViews>
    <workbookView xWindow="-120" yWindow="-120" windowWidth="29040" windowHeight="15840" xr2:uid="{AA5140DE-C7B5-4249-BF46-ADF617DB470E}"/>
  </bookViews>
  <sheets>
    <sheet name="пла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107" i="1"/>
  <c r="C106" i="1"/>
  <c r="C105" i="1"/>
  <c r="BT104" i="1"/>
  <c r="BP104" i="1"/>
  <c r="BP98" i="1" s="1"/>
  <c r="BL104" i="1"/>
  <c r="BK104" i="1"/>
  <c r="BH104" i="1"/>
  <c r="AX104" i="1"/>
  <c r="AW104" i="1"/>
  <c r="AU104" i="1"/>
  <c r="AT104" i="1"/>
  <c r="AS104" i="1"/>
  <c r="AP104" i="1"/>
  <c r="AO104" i="1"/>
  <c r="AO98" i="1" s="1"/>
  <c r="AG104" i="1"/>
  <c r="Y104" i="1"/>
  <c r="X104" i="1"/>
  <c r="X98" i="1" s="1"/>
  <c r="U104" i="1"/>
  <c r="O104" i="1"/>
  <c r="N104" i="1"/>
  <c r="M104" i="1"/>
  <c r="I104" i="1"/>
  <c r="H104" i="1"/>
  <c r="C103" i="1"/>
  <c r="BR102" i="1"/>
  <c r="BR98" i="1" s="1"/>
  <c r="BB102" i="1"/>
  <c r="BB98" i="1" s="1"/>
  <c r="BA102" i="1"/>
  <c r="AX102" i="1"/>
  <c r="AW102" i="1"/>
  <c r="AU102" i="1"/>
  <c r="AT102" i="1"/>
  <c r="AS102" i="1"/>
  <c r="AW101" i="1"/>
  <c r="AU101" i="1"/>
  <c r="AT101" i="1"/>
  <c r="AS101" i="1"/>
  <c r="BM100" i="1"/>
  <c r="BM98" i="1" s="1"/>
  <c r="BL100" i="1"/>
  <c r="BK100" i="1"/>
  <c r="BI100" i="1"/>
  <c r="BI98" i="1" s="1"/>
  <c r="BH100" i="1"/>
  <c r="BE100" i="1"/>
  <c r="BE98" i="1" s="1"/>
  <c r="BD100" i="1"/>
  <c r="BC100" i="1"/>
  <c r="BC98" i="1" s="1"/>
  <c r="BA100" i="1"/>
  <c r="BA98" i="1" s="1"/>
  <c r="AZ100" i="1"/>
  <c r="AZ98" i="1" s="1"/>
  <c r="AY100" i="1"/>
  <c r="AY98" i="1" s="1"/>
  <c r="AW100" i="1"/>
  <c r="AU100" i="1"/>
  <c r="AT100" i="1"/>
  <c r="AS100" i="1"/>
  <c r="AP100" i="1"/>
  <c r="AI100" i="1"/>
  <c r="AI98" i="1" s="1"/>
  <c r="AG100" i="1"/>
  <c r="AA100" i="1"/>
  <c r="AA98" i="1" s="1"/>
  <c r="Y100" i="1"/>
  <c r="U100" i="1"/>
  <c r="O100" i="1"/>
  <c r="N100" i="1"/>
  <c r="M100" i="1"/>
  <c r="I100" i="1"/>
  <c r="H100" i="1"/>
  <c r="D100" i="1"/>
  <c r="D98" i="1" s="1"/>
  <c r="BM99" i="1"/>
  <c r="BL99" i="1"/>
  <c r="BK99" i="1"/>
  <c r="BH99" i="1"/>
  <c r="BE99" i="1"/>
  <c r="BD99" i="1"/>
  <c r="BC99" i="1"/>
  <c r="AZ99" i="1"/>
  <c r="AY99" i="1"/>
  <c r="AW99" i="1"/>
  <c r="AU99" i="1"/>
  <c r="AT99" i="1"/>
  <c r="AP99" i="1"/>
  <c r="AI99" i="1"/>
  <c r="AG99" i="1"/>
  <c r="AA99" i="1"/>
  <c r="Y99" i="1"/>
  <c r="U99" i="1"/>
  <c r="O99" i="1"/>
  <c r="N99" i="1"/>
  <c r="M99" i="1"/>
  <c r="I99" i="1"/>
  <c r="H99" i="1"/>
  <c r="D99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Q98" i="1"/>
  <c r="BO98" i="1"/>
  <c r="BN98" i="1"/>
  <c r="BJ98" i="1"/>
  <c r="BG98" i="1"/>
  <c r="BF98" i="1"/>
  <c r="BD98" i="1"/>
  <c r="AV98" i="1"/>
  <c r="AR98" i="1"/>
  <c r="AQ98" i="1"/>
  <c r="AN98" i="1"/>
  <c r="AM98" i="1"/>
  <c r="AL98" i="1"/>
  <c r="AK98" i="1"/>
  <c r="AJ98" i="1"/>
  <c r="AH98" i="1"/>
  <c r="AF98" i="1"/>
  <c r="AE98" i="1"/>
  <c r="AD98" i="1"/>
  <c r="AC98" i="1"/>
  <c r="AB98" i="1"/>
  <c r="Z98" i="1"/>
  <c r="W98" i="1"/>
  <c r="V98" i="1"/>
  <c r="T98" i="1"/>
  <c r="S98" i="1"/>
  <c r="R98" i="1"/>
  <c r="Q98" i="1"/>
  <c r="P98" i="1"/>
  <c r="L98" i="1"/>
  <c r="K98" i="1"/>
  <c r="J98" i="1"/>
  <c r="G98" i="1"/>
  <c r="F98" i="1"/>
  <c r="E98" i="1"/>
  <c r="BA97" i="1"/>
  <c r="C97" i="1" s="1"/>
  <c r="BA96" i="1"/>
  <c r="C96" i="1" s="1"/>
  <c r="AG95" i="1"/>
  <c r="C95" i="1" s="1"/>
  <c r="AG94" i="1"/>
  <c r="C94" i="1" s="1"/>
  <c r="C93" i="1"/>
  <c r="C92" i="1"/>
  <c r="C91" i="1"/>
  <c r="C90" i="1"/>
  <c r="BQ89" i="1"/>
  <c r="BQ85" i="1" s="1"/>
  <c r="BQ83" i="1" s="1"/>
  <c r="BP89" i="1"/>
  <c r="BP85" i="1" s="1"/>
  <c r="BP83" i="1" s="1"/>
  <c r="AX89" i="1"/>
  <c r="BQ88" i="1"/>
  <c r="BQ84" i="1" s="1"/>
  <c r="BP88" i="1"/>
  <c r="C87" i="1"/>
  <c r="C86" i="1"/>
  <c r="CW85" i="1"/>
  <c r="CW83" i="1" s="1"/>
  <c r="CV85" i="1"/>
  <c r="CV83" i="1" s="1"/>
  <c r="CU85" i="1"/>
  <c r="CU83" i="1" s="1"/>
  <c r="CT85" i="1"/>
  <c r="CT83" i="1" s="1"/>
  <c r="CS85" i="1"/>
  <c r="CS83" i="1" s="1"/>
  <c r="CR85" i="1"/>
  <c r="CR83" i="1" s="1"/>
  <c r="CQ85" i="1"/>
  <c r="CQ83" i="1" s="1"/>
  <c r="CP85" i="1"/>
  <c r="CP83" i="1" s="1"/>
  <c r="CO85" i="1"/>
  <c r="CO83" i="1" s="1"/>
  <c r="CN85" i="1"/>
  <c r="CN83" i="1" s="1"/>
  <c r="CM85" i="1"/>
  <c r="CM83" i="1" s="1"/>
  <c r="CL85" i="1"/>
  <c r="CL83" i="1" s="1"/>
  <c r="CK85" i="1"/>
  <c r="CK83" i="1" s="1"/>
  <c r="CJ85" i="1"/>
  <c r="CJ83" i="1" s="1"/>
  <c r="CI85" i="1"/>
  <c r="CI83" i="1" s="1"/>
  <c r="CH85" i="1"/>
  <c r="CH83" i="1" s="1"/>
  <c r="CG85" i="1"/>
  <c r="CG83" i="1" s="1"/>
  <c r="CF85" i="1"/>
  <c r="CF83" i="1" s="1"/>
  <c r="CE85" i="1"/>
  <c r="CE83" i="1" s="1"/>
  <c r="CD85" i="1"/>
  <c r="CD83" i="1" s="1"/>
  <c r="CC85" i="1"/>
  <c r="CC83" i="1" s="1"/>
  <c r="CB85" i="1"/>
  <c r="CB83" i="1" s="1"/>
  <c r="CA85" i="1"/>
  <c r="CA83" i="1" s="1"/>
  <c r="BZ85" i="1"/>
  <c r="BZ83" i="1" s="1"/>
  <c r="BY85" i="1"/>
  <c r="BY83" i="1" s="1"/>
  <c r="BX85" i="1"/>
  <c r="BW85" i="1"/>
  <c r="BW83" i="1" s="1"/>
  <c r="BV85" i="1"/>
  <c r="BV83" i="1" s="1"/>
  <c r="BU85" i="1"/>
  <c r="BU83" i="1" s="1"/>
  <c r="BT85" i="1"/>
  <c r="BT83" i="1" s="1"/>
  <c r="BS85" i="1"/>
  <c r="BS83" i="1" s="1"/>
  <c r="BR85" i="1"/>
  <c r="BR83" i="1" s="1"/>
  <c r="BO85" i="1"/>
  <c r="BO83" i="1" s="1"/>
  <c r="BN85" i="1"/>
  <c r="BN83" i="1" s="1"/>
  <c r="BM85" i="1"/>
  <c r="BM83" i="1" s="1"/>
  <c r="BL85" i="1"/>
  <c r="BL83" i="1" s="1"/>
  <c r="BK85" i="1"/>
  <c r="BK83" i="1" s="1"/>
  <c r="BJ85" i="1"/>
  <c r="BJ83" i="1" s="1"/>
  <c r="BI85" i="1"/>
  <c r="BI83" i="1" s="1"/>
  <c r="BH85" i="1"/>
  <c r="BH83" i="1" s="1"/>
  <c r="BG85" i="1"/>
  <c r="BG83" i="1" s="1"/>
  <c r="BF85" i="1"/>
  <c r="BF83" i="1" s="1"/>
  <c r="BE85" i="1"/>
  <c r="BE83" i="1" s="1"/>
  <c r="BD85" i="1"/>
  <c r="BD83" i="1" s="1"/>
  <c r="BC85" i="1"/>
  <c r="BC83" i="1" s="1"/>
  <c r="BB85" i="1"/>
  <c r="BB83" i="1" s="1"/>
  <c r="BA85" i="1"/>
  <c r="AZ85" i="1"/>
  <c r="AZ83" i="1" s="1"/>
  <c r="AY85" i="1"/>
  <c r="AY83" i="1" s="1"/>
  <c r="AX85" i="1"/>
  <c r="AX83" i="1" s="1"/>
  <c r="AW85" i="1"/>
  <c r="AW83" i="1" s="1"/>
  <c r="AV85" i="1"/>
  <c r="AV83" i="1" s="1"/>
  <c r="AU85" i="1"/>
  <c r="AU83" i="1" s="1"/>
  <c r="AT85" i="1"/>
  <c r="AT83" i="1" s="1"/>
  <c r="AS85" i="1"/>
  <c r="AS83" i="1" s="1"/>
  <c r="AR85" i="1"/>
  <c r="AR83" i="1" s="1"/>
  <c r="AQ85" i="1"/>
  <c r="AP85" i="1"/>
  <c r="AP83" i="1" s="1"/>
  <c r="AO85" i="1"/>
  <c r="AO83" i="1" s="1"/>
  <c r="AN85" i="1"/>
  <c r="AN83" i="1" s="1"/>
  <c r="AM85" i="1"/>
  <c r="AM83" i="1" s="1"/>
  <c r="AL85" i="1"/>
  <c r="AL83" i="1" s="1"/>
  <c r="AK85" i="1"/>
  <c r="AK83" i="1" s="1"/>
  <c r="AJ85" i="1"/>
  <c r="AJ83" i="1" s="1"/>
  <c r="AI85" i="1"/>
  <c r="AI83" i="1" s="1"/>
  <c r="AH85" i="1"/>
  <c r="AH83" i="1" s="1"/>
  <c r="AG85" i="1"/>
  <c r="AF85" i="1"/>
  <c r="AF83" i="1" s="1"/>
  <c r="AE85" i="1"/>
  <c r="AE83" i="1" s="1"/>
  <c r="AD85" i="1"/>
  <c r="AD83" i="1" s="1"/>
  <c r="AC85" i="1"/>
  <c r="AC83" i="1" s="1"/>
  <c r="AB85" i="1"/>
  <c r="AB83" i="1" s="1"/>
  <c r="AA85" i="1"/>
  <c r="AA83" i="1" s="1"/>
  <c r="Z85" i="1"/>
  <c r="Z83" i="1" s="1"/>
  <c r="Y85" i="1"/>
  <c r="Y83" i="1" s="1"/>
  <c r="X85" i="1"/>
  <c r="X83" i="1" s="1"/>
  <c r="W85" i="1"/>
  <c r="W83" i="1" s="1"/>
  <c r="V85" i="1"/>
  <c r="V83" i="1" s="1"/>
  <c r="U85" i="1"/>
  <c r="U83" i="1" s="1"/>
  <c r="T85" i="1"/>
  <c r="T83" i="1" s="1"/>
  <c r="S85" i="1"/>
  <c r="S83" i="1" s="1"/>
  <c r="R85" i="1"/>
  <c r="R83" i="1" s="1"/>
  <c r="Q85" i="1"/>
  <c r="Q83" i="1" s="1"/>
  <c r="P85" i="1"/>
  <c r="P83" i="1" s="1"/>
  <c r="O85" i="1"/>
  <c r="O83" i="1" s="1"/>
  <c r="N85" i="1"/>
  <c r="N83" i="1" s="1"/>
  <c r="M85" i="1"/>
  <c r="M83" i="1" s="1"/>
  <c r="L85" i="1"/>
  <c r="L83" i="1" s="1"/>
  <c r="K85" i="1"/>
  <c r="K83" i="1" s="1"/>
  <c r="J85" i="1"/>
  <c r="J83" i="1" s="1"/>
  <c r="I85" i="1"/>
  <c r="I83" i="1" s="1"/>
  <c r="H85" i="1"/>
  <c r="H83" i="1" s="1"/>
  <c r="G85" i="1"/>
  <c r="G83" i="1" s="1"/>
  <c r="F85" i="1"/>
  <c r="F83" i="1" s="1"/>
  <c r="E85" i="1"/>
  <c r="E83" i="1" s="1"/>
  <c r="D85" i="1"/>
  <c r="D83" i="1" s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X83" i="1"/>
  <c r="AQ83" i="1"/>
  <c r="CB82" i="1"/>
  <c r="BP82" i="1"/>
  <c r="BN82" i="1"/>
  <c r="BM82" i="1"/>
  <c r="BL82" i="1"/>
  <c r="BK82" i="1"/>
  <c r="BI82" i="1"/>
  <c r="BH82" i="1"/>
  <c r="BD82" i="1"/>
  <c r="BC82" i="1"/>
  <c r="AZ82" i="1"/>
  <c r="AY82" i="1"/>
  <c r="AX82" i="1"/>
  <c r="AW82" i="1"/>
  <c r="AU82" i="1"/>
  <c r="AT82" i="1"/>
  <c r="AP82" i="1"/>
  <c r="AI82" i="1"/>
  <c r="AA82" i="1"/>
  <c r="Y82" i="1"/>
  <c r="T82" i="1"/>
  <c r="N82" i="1"/>
  <c r="M82" i="1"/>
  <c r="I82" i="1"/>
  <c r="H82" i="1"/>
  <c r="D82" i="1"/>
  <c r="C81" i="1"/>
  <c r="BZ80" i="1"/>
  <c r="BY80" i="1"/>
  <c r="BX80" i="1"/>
  <c r="BT80" i="1"/>
  <c r="BQ80" i="1"/>
  <c r="BK80" i="1"/>
  <c r="BC80" i="1"/>
  <c r="BA80" i="1"/>
  <c r="AP80" i="1"/>
  <c r="AE80" i="1"/>
  <c r="X80" i="1"/>
  <c r="V80" i="1"/>
  <c r="O80" i="1"/>
  <c r="BK79" i="1"/>
  <c r="AP79" i="1"/>
  <c r="C78" i="1"/>
  <c r="C77" i="1"/>
  <c r="C76" i="1"/>
  <c r="C75" i="1"/>
  <c r="C74" i="1"/>
  <c r="C73" i="1"/>
  <c r="C72" i="1"/>
  <c r="C71" i="1"/>
  <c r="BL70" i="1"/>
  <c r="BK70" i="1"/>
  <c r="BI70" i="1"/>
  <c r="BH70" i="1"/>
  <c r="BF70" i="1"/>
  <c r="BD70" i="1"/>
  <c r="BC70" i="1"/>
  <c r="AZ70" i="1"/>
  <c r="AX70" i="1"/>
  <c r="AW70" i="1"/>
  <c r="AU70" i="1"/>
  <c r="AT70" i="1"/>
  <c r="AS70" i="1"/>
  <c r="C69" i="1"/>
  <c r="BA68" i="1"/>
  <c r="AZ68" i="1"/>
  <c r="AX68" i="1"/>
  <c r="C67" i="1"/>
  <c r="CQ66" i="1"/>
  <c r="CP66" i="1"/>
  <c r="CO66" i="1"/>
  <c r="BT66" i="1"/>
  <c r="BQ66" i="1"/>
  <c r="BK66" i="1"/>
  <c r="BI66" i="1"/>
  <c r="BF66" i="1"/>
  <c r="AY66" i="1"/>
  <c r="AU66" i="1"/>
  <c r="AT66" i="1"/>
  <c r="AS66" i="1"/>
  <c r="AP66" i="1"/>
  <c r="AH66" i="1"/>
  <c r="AE66" i="1"/>
  <c r="T66" i="1"/>
  <c r="R66" i="1"/>
  <c r="F66" i="1"/>
  <c r="CQ65" i="1"/>
  <c r="CP65" i="1"/>
  <c r="AT65" i="1"/>
  <c r="AE65" i="1"/>
  <c r="T65" i="1"/>
  <c r="BG64" i="1"/>
  <c r="BF64" i="1"/>
  <c r="BA64" i="1"/>
  <c r="AZ64" i="1"/>
  <c r="AY64" i="1"/>
  <c r="AX64" i="1"/>
  <c r="C63" i="1"/>
  <c r="C62" i="1"/>
  <c r="C61" i="1"/>
  <c r="C60" i="1"/>
  <c r="C59" i="1"/>
  <c r="C58" i="1"/>
  <c r="C57" i="1"/>
  <c r="BM56" i="1"/>
  <c r="BL56" i="1"/>
  <c r="BE56" i="1"/>
  <c r="AU56" i="1"/>
  <c r="AT56" i="1"/>
  <c r="U56" i="1"/>
  <c r="BM55" i="1"/>
  <c r="BL55" i="1"/>
  <c r="AU55" i="1"/>
  <c r="AT55" i="1"/>
  <c r="U55" i="1"/>
  <c r="BN54" i="1"/>
  <c r="BM54" i="1"/>
  <c r="BL54" i="1"/>
  <c r="BK54" i="1"/>
  <c r="BH54" i="1"/>
  <c r="BD54" i="1"/>
  <c r="BC54" i="1"/>
  <c r="AZ54" i="1"/>
  <c r="AY54" i="1"/>
  <c r="AW54" i="1"/>
  <c r="AU54" i="1"/>
  <c r="AT54" i="1"/>
  <c r="AP54" i="1"/>
  <c r="AI54" i="1"/>
  <c r="AG54" i="1"/>
  <c r="AA54" i="1"/>
  <c r="U54" i="1"/>
  <c r="T54" i="1"/>
  <c r="O54" i="1"/>
  <c r="N54" i="1"/>
  <c r="M54" i="1"/>
  <c r="I54" i="1"/>
  <c r="H54" i="1"/>
  <c r="D54" i="1"/>
  <c r="BN53" i="1"/>
  <c r="BM53" i="1"/>
  <c r="BL53" i="1"/>
  <c r="BK53" i="1"/>
  <c r="BH53" i="1"/>
  <c r="BD53" i="1"/>
  <c r="BC53" i="1"/>
  <c r="AZ53" i="1"/>
  <c r="AY53" i="1"/>
  <c r="AW53" i="1"/>
  <c r="AU53" i="1"/>
  <c r="AT53" i="1"/>
  <c r="AP53" i="1"/>
  <c r="AI53" i="1"/>
  <c r="AG53" i="1"/>
  <c r="AA53" i="1"/>
  <c r="U53" i="1"/>
  <c r="T53" i="1"/>
  <c r="O53" i="1"/>
  <c r="N53" i="1"/>
  <c r="M53" i="1"/>
  <c r="I53" i="1"/>
  <c r="H53" i="1"/>
  <c r="D53" i="1"/>
  <c r="BN52" i="1"/>
  <c r="BM52" i="1"/>
  <c r="BL52" i="1"/>
  <c r="BK52" i="1"/>
  <c r="BH52" i="1"/>
  <c r="BE52" i="1"/>
  <c r="BD52" i="1"/>
  <c r="BC52" i="1"/>
  <c r="AZ52" i="1"/>
  <c r="AY52" i="1"/>
  <c r="AW52" i="1"/>
  <c r="AU52" i="1"/>
  <c r="AT52" i="1"/>
  <c r="AP52" i="1"/>
  <c r="AI52" i="1"/>
  <c r="AG52" i="1"/>
  <c r="AA52" i="1"/>
  <c r="Y52" i="1"/>
  <c r="U52" i="1"/>
  <c r="T52" i="1"/>
  <c r="O52" i="1"/>
  <c r="N52" i="1"/>
  <c r="M52" i="1"/>
  <c r="I52" i="1"/>
  <c r="H52" i="1"/>
  <c r="D52" i="1"/>
  <c r="C51" i="1"/>
  <c r="BN50" i="1"/>
  <c r="BM50" i="1"/>
  <c r="BL50" i="1"/>
  <c r="BK50" i="1"/>
  <c r="BH50" i="1"/>
  <c r="BE50" i="1"/>
  <c r="BD50" i="1"/>
  <c r="BC50" i="1"/>
  <c r="AZ50" i="1"/>
  <c r="AY50" i="1"/>
  <c r="AW50" i="1"/>
  <c r="AU50" i="1"/>
  <c r="AT50" i="1"/>
  <c r="AP50" i="1"/>
  <c r="AI50" i="1"/>
  <c r="AG50" i="1"/>
  <c r="AA50" i="1"/>
  <c r="U50" i="1"/>
  <c r="T50" i="1"/>
  <c r="O50" i="1"/>
  <c r="N50" i="1"/>
  <c r="M50" i="1"/>
  <c r="I50" i="1"/>
  <c r="H50" i="1"/>
  <c r="D50" i="1"/>
  <c r="C49" i="1"/>
  <c r="C48" i="1"/>
  <c r="C47" i="1"/>
  <c r="C46" i="1"/>
  <c r="AX45" i="1"/>
  <c r="AW45" i="1"/>
  <c r="AU45" i="1"/>
  <c r="AT45" i="1"/>
  <c r="AS45" i="1"/>
  <c r="AX44" i="1"/>
  <c r="AW44" i="1"/>
  <c r="AU44" i="1"/>
  <c r="AT44" i="1"/>
  <c r="AS44" i="1"/>
  <c r="C43" i="1"/>
  <c r="C42" i="1"/>
  <c r="C41" i="1"/>
  <c r="C40" i="1"/>
  <c r="C39" i="1"/>
  <c r="C38" i="1"/>
  <c r="C37" i="1"/>
  <c r="C36" i="1"/>
  <c r="C35" i="1"/>
  <c r="CW34" i="1"/>
  <c r="CW29" i="1" s="1"/>
  <c r="CV34" i="1"/>
  <c r="CV29" i="1" s="1"/>
  <c r="CU34" i="1"/>
  <c r="CU29" i="1" s="1"/>
  <c r="CT34" i="1"/>
  <c r="CT29" i="1" s="1"/>
  <c r="CS34" i="1"/>
  <c r="CS29" i="1" s="1"/>
  <c r="CR34" i="1"/>
  <c r="CR29" i="1" s="1"/>
  <c r="CQ34" i="1"/>
  <c r="CQ29" i="1" s="1"/>
  <c r="CP34" i="1"/>
  <c r="CP29" i="1" s="1"/>
  <c r="CO34" i="1"/>
  <c r="CO29" i="1" s="1"/>
  <c r="CN34" i="1"/>
  <c r="CN29" i="1" s="1"/>
  <c r="CM34" i="1"/>
  <c r="CM29" i="1" s="1"/>
  <c r="CL34" i="1"/>
  <c r="CL29" i="1" s="1"/>
  <c r="CK34" i="1"/>
  <c r="CK29" i="1" s="1"/>
  <c r="CJ34" i="1"/>
  <c r="CJ29" i="1" s="1"/>
  <c r="CI34" i="1"/>
  <c r="CI29" i="1" s="1"/>
  <c r="CH34" i="1"/>
  <c r="CH29" i="1" s="1"/>
  <c r="CG34" i="1"/>
  <c r="CG29" i="1" s="1"/>
  <c r="CF34" i="1"/>
  <c r="CF29" i="1" s="1"/>
  <c r="CE34" i="1"/>
  <c r="CE29" i="1" s="1"/>
  <c r="CD34" i="1"/>
  <c r="CD29" i="1" s="1"/>
  <c r="CC34" i="1"/>
  <c r="CC29" i="1" s="1"/>
  <c r="CB34" i="1"/>
  <c r="CB29" i="1" s="1"/>
  <c r="CA34" i="1"/>
  <c r="CA29" i="1" s="1"/>
  <c r="BZ34" i="1"/>
  <c r="BZ29" i="1" s="1"/>
  <c r="BY34" i="1"/>
  <c r="BY29" i="1" s="1"/>
  <c r="BX34" i="1"/>
  <c r="BX29" i="1" s="1"/>
  <c r="BW34" i="1"/>
  <c r="BW29" i="1" s="1"/>
  <c r="BV34" i="1"/>
  <c r="BV29" i="1" s="1"/>
  <c r="BU34" i="1"/>
  <c r="BU29" i="1" s="1"/>
  <c r="BT34" i="1"/>
  <c r="BT29" i="1" s="1"/>
  <c r="BS34" i="1"/>
  <c r="BS29" i="1" s="1"/>
  <c r="BR34" i="1"/>
  <c r="BR29" i="1" s="1"/>
  <c r="BQ34" i="1"/>
  <c r="BQ29" i="1" s="1"/>
  <c r="BP34" i="1"/>
  <c r="BP29" i="1" s="1"/>
  <c r="BO34" i="1"/>
  <c r="BO29" i="1" s="1"/>
  <c r="BN34" i="1"/>
  <c r="BN29" i="1" s="1"/>
  <c r="BM34" i="1"/>
  <c r="BM29" i="1" s="1"/>
  <c r="BL34" i="1"/>
  <c r="BL29" i="1" s="1"/>
  <c r="BK34" i="1"/>
  <c r="BK29" i="1" s="1"/>
  <c r="BJ34" i="1"/>
  <c r="BJ29" i="1" s="1"/>
  <c r="BI34" i="1"/>
  <c r="BI29" i="1" s="1"/>
  <c r="BH34" i="1"/>
  <c r="BH29" i="1" s="1"/>
  <c r="BG34" i="1"/>
  <c r="BG29" i="1" s="1"/>
  <c r="BF34" i="1"/>
  <c r="BF29" i="1" s="1"/>
  <c r="BE34" i="1"/>
  <c r="BE29" i="1" s="1"/>
  <c r="BD34" i="1"/>
  <c r="BD29" i="1" s="1"/>
  <c r="BC34" i="1"/>
  <c r="BC29" i="1" s="1"/>
  <c r="BB34" i="1"/>
  <c r="BB29" i="1" s="1"/>
  <c r="BA34" i="1"/>
  <c r="BA29" i="1" s="1"/>
  <c r="AZ34" i="1"/>
  <c r="AZ29" i="1" s="1"/>
  <c r="AY34" i="1"/>
  <c r="AY29" i="1" s="1"/>
  <c r="AX34" i="1"/>
  <c r="AW34" i="1"/>
  <c r="AV34" i="1"/>
  <c r="AV29" i="1" s="1"/>
  <c r="AU34" i="1"/>
  <c r="AT34" i="1"/>
  <c r="AS34" i="1"/>
  <c r="AR34" i="1"/>
  <c r="AR29" i="1" s="1"/>
  <c r="AQ34" i="1"/>
  <c r="AQ29" i="1" s="1"/>
  <c r="AP34" i="1"/>
  <c r="AP29" i="1" s="1"/>
  <c r="AO34" i="1"/>
  <c r="AO29" i="1" s="1"/>
  <c r="AN34" i="1"/>
  <c r="AN29" i="1" s="1"/>
  <c r="AM34" i="1"/>
  <c r="AM29" i="1" s="1"/>
  <c r="AL34" i="1"/>
  <c r="AL29" i="1" s="1"/>
  <c r="AK34" i="1"/>
  <c r="AK29" i="1" s="1"/>
  <c r="AJ34" i="1"/>
  <c r="AJ29" i="1" s="1"/>
  <c r="AI34" i="1"/>
  <c r="AI29" i="1" s="1"/>
  <c r="AH34" i="1"/>
  <c r="AH29" i="1" s="1"/>
  <c r="AG34" i="1"/>
  <c r="AG29" i="1" s="1"/>
  <c r="AF34" i="1"/>
  <c r="AF29" i="1" s="1"/>
  <c r="AE34" i="1"/>
  <c r="AE29" i="1" s="1"/>
  <c r="AD34" i="1"/>
  <c r="AD29" i="1" s="1"/>
  <c r="AC34" i="1"/>
  <c r="AC29" i="1" s="1"/>
  <c r="AB34" i="1"/>
  <c r="AB29" i="1" s="1"/>
  <c r="AA34" i="1"/>
  <c r="AA29" i="1" s="1"/>
  <c r="Z34" i="1"/>
  <c r="Z29" i="1" s="1"/>
  <c r="Y34" i="1"/>
  <c r="Y29" i="1" s="1"/>
  <c r="X34" i="1"/>
  <c r="X29" i="1" s="1"/>
  <c r="W34" i="1"/>
  <c r="W29" i="1" s="1"/>
  <c r="V34" i="1"/>
  <c r="V29" i="1" s="1"/>
  <c r="U34" i="1"/>
  <c r="U29" i="1" s="1"/>
  <c r="T34" i="1"/>
  <c r="T29" i="1" s="1"/>
  <c r="S34" i="1"/>
  <c r="S29" i="1" s="1"/>
  <c r="R34" i="1"/>
  <c r="R29" i="1" s="1"/>
  <c r="Q34" i="1"/>
  <c r="Q29" i="1" s="1"/>
  <c r="P34" i="1"/>
  <c r="P29" i="1" s="1"/>
  <c r="O34" i="1"/>
  <c r="O29" i="1" s="1"/>
  <c r="N34" i="1"/>
  <c r="N29" i="1" s="1"/>
  <c r="M34" i="1"/>
  <c r="M29" i="1" s="1"/>
  <c r="L34" i="1"/>
  <c r="L29" i="1" s="1"/>
  <c r="K34" i="1"/>
  <c r="K29" i="1" s="1"/>
  <c r="J34" i="1"/>
  <c r="J29" i="1" s="1"/>
  <c r="I34" i="1"/>
  <c r="I29" i="1" s="1"/>
  <c r="H34" i="1"/>
  <c r="H29" i="1" s="1"/>
  <c r="G34" i="1"/>
  <c r="G29" i="1" s="1"/>
  <c r="F34" i="1"/>
  <c r="F29" i="1" s="1"/>
  <c r="E34" i="1"/>
  <c r="E29" i="1" s="1"/>
  <c r="D34" i="1"/>
  <c r="D29" i="1" s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1" i="1"/>
  <c r="C30" i="1"/>
  <c r="C27" i="1"/>
  <c r="C26" i="1"/>
  <c r="C25" i="1"/>
  <c r="C24" i="1"/>
  <c r="C23" i="1"/>
  <c r="C22" i="1"/>
  <c r="C21" i="1"/>
  <c r="C20" i="1"/>
  <c r="C19" i="1"/>
  <c r="C18" i="1"/>
  <c r="C17" i="1"/>
  <c r="C16" i="1"/>
  <c r="AT15" i="1"/>
  <c r="AT14" i="1"/>
  <c r="C14" i="1" s="1"/>
  <c r="C13" i="1"/>
  <c r="C12" i="1"/>
  <c r="CW11" i="1"/>
  <c r="CV11" i="1"/>
  <c r="CU11" i="1"/>
  <c r="CT11" i="1"/>
  <c r="CT8" i="1" s="1"/>
  <c r="CS11" i="1"/>
  <c r="CR11" i="1"/>
  <c r="CQ11" i="1"/>
  <c r="CP11" i="1"/>
  <c r="CO11" i="1"/>
  <c r="CN11" i="1"/>
  <c r="CN8" i="1" s="1"/>
  <c r="CM11" i="1"/>
  <c r="CL11" i="1"/>
  <c r="CK11" i="1"/>
  <c r="CJ11" i="1"/>
  <c r="CI11" i="1"/>
  <c r="CH11" i="1"/>
  <c r="CH8" i="1" s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V8" i="1" s="1"/>
  <c r="BU11" i="1"/>
  <c r="BT11" i="1"/>
  <c r="BS11" i="1"/>
  <c r="BR11" i="1"/>
  <c r="BQ11" i="1"/>
  <c r="BP11" i="1"/>
  <c r="BP8" i="1" s="1"/>
  <c r="BO11" i="1"/>
  <c r="BN11" i="1"/>
  <c r="BM11" i="1"/>
  <c r="BL11" i="1"/>
  <c r="BK11" i="1"/>
  <c r="BJ11" i="1"/>
  <c r="BJ8" i="1" s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Q8" i="1" l="1"/>
  <c r="CQ8" i="1"/>
  <c r="M98" i="1"/>
  <c r="AG98" i="1"/>
  <c r="AW98" i="1"/>
  <c r="BK98" i="1"/>
  <c r="AO8" i="1"/>
  <c r="AC8" i="1"/>
  <c r="AP98" i="1"/>
  <c r="E8" i="1"/>
  <c r="G8" i="1"/>
  <c r="W8" i="1"/>
  <c r="BL98" i="1"/>
  <c r="K8" i="1"/>
  <c r="AT29" i="1"/>
  <c r="BG8" i="1"/>
  <c r="AT10" i="1"/>
  <c r="Z8" i="1"/>
  <c r="AF8" i="1"/>
  <c r="AL8" i="1"/>
  <c r="AR8" i="1"/>
  <c r="I98" i="1"/>
  <c r="BH98" i="1"/>
  <c r="C101" i="1"/>
  <c r="BI8" i="1"/>
  <c r="O98" i="1"/>
  <c r="N8" i="1"/>
  <c r="AH8" i="1"/>
  <c r="AW29" i="1"/>
  <c r="AW8" i="1" s="1"/>
  <c r="BM8" i="1"/>
  <c r="CS8" i="1"/>
  <c r="BU8" i="1"/>
  <c r="C99" i="1"/>
  <c r="AS98" i="1"/>
  <c r="AG8" i="1"/>
  <c r="AM8" i="1"/>
  <c r="BE8" i="1"/>
  <c r="BQ8" i="1"/>
  <c r="BW8" i="1"/>
  <c r="CC8" i="1"/>
  <c r="CI8" i="1"/>
  <c r="Y98" i="1"/>
  <c r="CE8" i="1"/>
  <c r="CW8" i="1"/>
  <c r="P8" i="1"/>
  <c r="AZ8" i="1"/>
  <c r="BR8" i="1"/>
  <c r="AG83" i="1"/>
  <c r="BC8" i="1"/>
  <c r="BO8" i="1"/>
  <c r="CA8" i="1"/>
  <c r="CG8" i="1"/>
  <c r="CM8" i="1"/>
  <c r="H98" i="1"/>
  <c r="L8" i="1"/>
  <c r="X8" i="1"/>
  <c r="CR8" i="1"/>
  <c r="C32" i="1"/>
  <c r="AY8" i="1"/>
  <c r="CO8" i="1"/>
  <c r="CU8" i="1"/>
  <c r="Y8" i="1"/>
  <c r="C53" i="1"/>
  <c r="T8" i="1"/>
  <c r="BD8" i="1"/>
  <c r="C89" i="1"/>
  <c r="C85" i="1" s="1"/>
  <c r="C83" i="1" s="1"/>
  <c r="M8" i="1"/>
  <c r="S8" i="1"/>
  <c r="AE8" i="1"/>
  <c r="AK8" i="1"/>
  <c r="CB8" i="1"/>
  <c r="C10" i="1"/>
  <c r="Q8" i="1"/>
  <c r="AI8" i="1"/>
  <c r="AU29" i="1"/>
  <c r="AU8" i="1" s="1"/>
  <c r="BA8" i="1"/>
  <c r="BS8" i="1"/>
  <c r="CK8" i="1"/>
  <c r="C50" i="1"/>
  <c r="C79" i="1"/>
  <c r="AD8" i="1"/>
  <c r="BZ8" i="1"/>
  <c r="AV8" i="1"/>
  <c r="AJ8" i="1"/>
  <c r="BB8" i="1"/>
  <c r="BT8" i="1"/>
  <c r="CL8" i="1"/>
  <c r="C80" i="1"/>
  <c r="BA83" i="1"/>
  <c r="U98" i="1"/>
  <c r="CJ8" i="1"/>
  <c r="C15" i="1"/>
  <c r="C11" i="1" s="1"/>
  <c r="AT11" i="1"/>
  <c r="C70" i="1"/>
  <c r="H8" i="1"/>
  <c r="CF8" i="1"/>
  <c r="R8" i="1"/>
  <c r="AU98" i="1"/>
  <c r="C82" i="1"/>
  <c r="C52" i="1"/>
  <c r="C64" i="1"/>
  <c r="C68" i="1"/>
  <c r="BY8" i="1"/>
  <c r="C104" i="1"/>
  <c r="AX98" i="1"/>
  <c r="C100" i="1"/>
  <c r="D8" i="1"/>
  <c r="J8" i="1"/>
  <c r="V8" i="1"/>
  <c r="AB8" i="1"/>
  <c r="AN8" i="1"/>
  <c r="BF8" i="1"/>
  <c r="BL8" i="1"/>
  <c r="BX8" i="1"/>
  <c r="CD8" i="1"/>
  <c r="CP8" i="1"/>
  <c r="CV8" i="1"/>
  <c r="C34" i="1"/>
  <c r="AS29" i="1"/>
  <c r="AS8" i="1" s="1"/>
  <c r="C54" i="1"/>
  <c r="C56" i="1"/>
  <c r="C66" i="1"/>
  <c r="I8" i="1"/>
  <c r="AA8" i="1"/>
  <c r="BK8" i="1"/>
  <c r="C33" i="1"/>
  <c r="C55" i="1"/>
  <c r="C65" i="1"/>
  <c r="AX29" i="1"/>
  <c r="AX8" i="1" s="1"/>
  <c r="C45" i="1"/>
  <c r="C88" i="1"/>
  <c r="C84" i="1" s="1"/>
  <c r="BP84" i="1"/>
  <c r="U8" i="1"/>
  <c r="BN8" i="1"/>
  <c r="C44" i="1"/>
  <c r="F8" i="1"/>
  <c r="O8" i="1"/>
  <c r="AP8" i="1"/>
  <c r="BH8" i="1"/>
  <c r="C102" i="1"/>
  <c r="AT98" i="1"/>
  <c r="N98" i="1"/>
  <c r="AT8" i="1" l="1"/>
  <c r="C98" i="1"/>
  <c r="C29" i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Vika</author>
    <author>Рамиля Рустамовна</author>
  </authors>
  <commentList>
    <comment ref="AE12" authorId="0" shapeId="0" xr:uid="{52A8957E-4EDE-40DE-97D0-827A5C56A5B0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выходы на кровлю 1, 4, 7 пар</t>
        </r>
      </text>
    </comment>
    <comment ref="AE30" authorId="0" shapeId="0" xr:uid="{B995C008-13CA-4886-A394-8EA93AF5881A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выходы на кровлю 1, 4, 7 пар</t>
        </r>
      </text>
    </comment>
    <comment ref="CC30" authorId="0" shapeId="0" xr:uid="{E5F5A87F-2DEE-4314-A032-E9F2F98267F5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пандус плитка библиотека</t>
        </r>
      </text>
    </comment>
    <comment ref="CO31" authorId="0" shapeId="0" xr:uid="{EA87690F-D27F-4F6B-9B0E-E9CC39BBDEAF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цоколь</t>
        </r>
      </text>
    </comment>
    <comment ref="CP31" authorId="0" shapeId="0" xr:uid="{A339962E-3586-4658-A656-BE35118B6A01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цоколь</t>
        </r>
      </text>
    </comment>
    <comment ref="CQ31" authorId="0" shapeId="0" xr:uid="{BD48D516-D23C-444C-A42B-7F930D60D654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цоколь</t>
        </r>
      </text>
    </comment>
    <comment ref="AS44" authorId="0" shapeId="0" xr:uid="{90B7C734-B6B3-40C7-B156-C2C5B3FC3F74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козырьки 2, 4, 9, 10 пар. Замена изопласта, оштукатуривание и окраска</t>
        </r>
      </text>
    </comment>
    <comment ref="AT44" authorId="0" shapeId="0" xr:uid="{E284A395-AFD2-4B8B-B545-8542187DC20F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козырьки 12, 9 пар.</t>
        </r>
      </text>
    </comment>
    <comment ref="AU44" authorId="0" shapeId="0" xr:uid="{8CFB14A2-BE7E-4A08-82B1-125E582F8A45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козырьки 22, 23 пар. Замена изопласта, оштукатуривание и окраска</t>
        </r>
      </text>
    </comment>
    <comment ref="AW44" authorId="0" shapeId="0" xr:uid="{29F1110B-1A58-4492-A7FE-D58398E7EED0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козырьки 2, 4, 7, 10 пар. Замена изопласта, оштукатуривание и окраска</t>
        </r>
      </text>
    </comment>
    <comment ref="AX44" authorId="0" shapeId="0" xr:uid="{0CF21D3F-6BA2-40F9-86DB-1F879AB36651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козырьки 5,6, 8, 14 пар. Замена изопласта, оштукатуривание и окраска</t>
        </r>
      </text>
    </comment>
    <comment ref="D51" authorId="1" shapeId="0" xr:uid="{B6EBA3DA-6696-4AD5-8265-4B2B295A906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 3, 7 пар</t>
        </r>
      </text>
    </comment>
    <comment ref="H51" authorId="1" shapeId="0" xr:uid="{DCD0D320-CD36-4939-8B55-BF90BF32A3FB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2,3 пар</t>
        </r>
      </text>
    </comment>
    <comment ref="I51" authorId="1" shapeId="0" xr:uid="{F8CF25B7-0449-4C9A-B475-670F014B8FD6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2,3 пар</t>
        </r>
      </text>
    </comment>
    <comment ref="M51" authorId="1" shapeId="0" xr:uid="{8F3EAC76-2BF0-4097-ACFE-CB31C287589F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3, 5 пар</t>
        </r>
      </text>
    </comment>
    <comment ref="N51" authorId="1" shapeId="0" xr:uid="{4EC31212-E19C-44DE-A147-D1BD5C87226A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6, 7 пар</t>
        </r>
      </text>
    </comment>
    <comment ref="P51" authorId="1" shapeId="0" xr:uid="{0058FB96-6BC4-431C-BD5F-EEAC2D21D87B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9 пар</t>
        </r>
      </text>
    </comment>
    <comment ref="T51" authorId="1" shapeId="0" xr:uid="{2DB82467-49A3-45F5-97ED-B822EBA31B39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 2 пар 1-е этажи</t>
        </r>
      </text>
    </comment>
    <comment ref="U51" authorId="0" shapeId="0" xr:uid="{CA0CB37E-5109-4447-B99A-A6B293589E82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3, 4 пар</t>
        </r>
      </text>
    </comment>
    <comment ref="Y51" authorId="1" shapeId="0" xr:uid="{1B9A4EC3-1DFD-4A17-B6D2-9AA669D75FF2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7 пар</t>
        </r>
      </text>
    </comment>
    <comment ref="AA51" authorId="1" shapeId="0" xr:uid="{FDDE3B7B-EE30-4077-808F-625C30DBE382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 2 пар</t>
        </r>
      </text>
    </comment>
    <comment ref="AG51" authorId="1" shapeId="0" xr:uid="{4358158F-4293-4BA1-BE52-BAADD45A9A9C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3, 4, 5пар</t>
        </r>
      </text>
    </comment>
    <comment ref="AI51" authorId="1" shapeId="0" xr:uid="{6027A4EA-545E-4020-ADC6-10CF2074E521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1,2,3,4 пар</t>
        </r>
      </text>
    </comment>
    <comment ref="AP51" authorId="1" shapeId="0" xr:uid="{3160C96A-21C7-4F7A-BDA0-341B54B66A9E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8,10,11пар</t>
        </r>
      </text>
    </comment>
    <comment ref="AT51" authorId="1" shapeId="0" xr:uid="{4BF51877-E170-4D3A-AE28-E3630D2558C6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1,2,3,4пар</t>
        </r>
      </text>
    </comment>
    <comment ref="AU51" authorId="1" shapeId="0" xr:uid="{DAADA52A-2012-41E4-8742-F7F22C3F0CF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5, 7, 20 пар</t>
        </r>
      </text>
    </comment>
    <comment ref="AW51" authorId="1" shapeId="0" xr:uid="{2C259C46-6AC0-4C17-A151-A00B41E8A46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1,2 пар</t>
        </r>
      </text>
    </comment>
    <comment ref="AX51" authorId="1" shapeId="0" xr:uid="{D7EB2622-D89A-4626-AEAF-E8FE9565339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8 пар</t>
        </r>
      </text>
    </comment>
    <comment ref="AY51" authorId="1" shapeId="0" xr:uid="{BDF5C9B7-AA2E-4876-8479-99881D1D01D3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20,21,24 пар</t>
        </r>
      </text>
    </comment>
    <comment ref="AZ51" authorId="1" shapeId="0" xr:uid="{1BFB94D9-3541-4F17-A436-C93D7BF4B91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9,13 пар</t>
        </r>
      </text>
    </comment>
    <comment ref="BC51" authorId="1" shapeId="0" xr:uid="{D9B8384E-B194-49BA-BE1F-324DE164DDA4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2,3 пар</t>
        </r>
      </text>
    </comment>
    <comment ref="BD51" authorId="1" shapeId="0" xr:uid="{EA66AD7A-B27F-4B0C-924B-E30FB78308D1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1,2,3,4 пар</t>
        </r>
      </text>
    </comment>
    <comment ref="BE51" authorId="0" shapeId="0" xr:uid="{DE6601DE-7FC7-42C4-A031-F6895BBA4146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13, 14, 15, 16, 17 пар.</t>
        </r>
      </text>
    </comment>
    <comment ref="BH51" authorId="1" shapeId="0" xr:uid="{E9DF1BB5-FE7D-4780-BC26-3214C811EC16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1,2 пар</t>
        </r>
      </text>
    </comment>
    <comment ref="BK51" authorId="1" shapeId="0" xr:uid="{78EA8327-E2BB-4570-AAD4-B10AF6BC8C6D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4,5,6 пар</t>
        </r>
      </text>
    </comment>
    <comment ref="BL51" authorId="1" shapeId="0" xr:uid="{72E7A949-F6C7-4ACA-897E-F637E4402166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6, 7, 8, 11 пар</t>
        </r>
      </text>
    </comment>
    <comment ref="BM51" authorId="1" shapeId="0" xr:uid="{A1EDD7F6-39F0-4CE5-80BD-B7D906B87F03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12,14,15 пар</t>
        </r>
      </text>
    </comment>
    <comment ref="BN51" authorId="1" shapeId="0" xr:uid="{AF898655-99A3-4CFD-83DB-868D3F6FA19A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1,9 пар</t>
        </r>
      </text>
    </comment>
    <comment ref="BO51" authorId="1" shapeId="0" xr:uid="{E6DA1EF0-D078-4E62-9C2A-A0DF80415AE5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 пар</t>
        </r>
      </text>
    </comment>
    <comment ref="BP51" authorId="1" shapeId="0" xr:uid="{F4AB275A-1671-407A-8DC8-818C35772EA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9 пар </t>
        </r>
      </text>
    </comment>
    <comment ref="BW51" authorId="1" shapeId="0" xr:uid="{50CCC19B-11B3-448B-BCFF-4F39427B62F4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 пар</t>
        </r>
      </text>
    </comment>
    <comment ref="CA51" authorId="1" shapeId="0" xr:uid="{CACFDDE2-BBE8-4C06-9D82-4A2BC916203B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 пар</t>
        </r>
      </text>
    </comment>
    <comment ref="CB51" authorId="1" shapeId="0" xr:uid="{1240ABB3-D534-40B7-99E2-02105A7FA98A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 пар</t>
        </r>
      </text>
    </comment>
    <comment ref="CI51" authorId="1" shapeId="0" xr:uid="{CEED84B2-D3CC-40C1-B053-A59FECE58B2C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с 2016г обещалка после капиталки</t>
        </r>
      </text>
    </comment>
    <comment ref="D53" authorId="1" shapeId="0" xr:uid="{A25E515F-F3B3-495F-8941-8768AC499B1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</t>
        </r>
      </text>
    </comment>
    <comment ref="H53" authorId="1" shapeId="0" xr:uid="{9222BDE1-DD94-4C27-9A61-D27AEB2F8C3C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</t>
        </r>
      </text>
    </comment>
    <comment ref="I53" authorId="1" shapeId="0" xr:uid="{124CA2AD-03CB-45FF-A984-8A5FA1F26725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приямок, МП</t>
        </r>
      </text>
    </comment>
    <comment ref="M53" authorId="1" shapeId="0" xr:uid="{B6B54BA9-E875-4508-AB38-5E3016C9788F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</t>
        </r>
      </text>
    </comment>
    <comment ref="T53" authorId="1" shapeId="0" xr:uid="{55DC7147-7724-4FA8-A669-732E1893ADA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мусорники и колясочные 1, 2 пар</t>
        </r>
      </text>
    </comment>
    <comment ref="AA53" authorId="1" shapeId="0" xr:uid="{A29CCA81-C2A7-4BC1-BD2F-96267E2C3C0F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</t>
        </r>
      </text>
    </comment>
    <comment ref="AG53" authorId="1" shapeId="0" xr:uid="{22F401DF-984C-4BD2-A993-137434CAB03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мусорка, предчердак, МП</t>
        </r>
      </text>
    </comment>
    <comment ref="AI53" authorId="1" shapeId="0" xr:uid="{14FE0BD5-2DDF-4413-9834-2F28C5FD88EF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предчердачное, МП</t>
        </r>
      </text>
    </comment>
    <comment ref="AP53" authorId="1" shapeId="0" xr:uid="{88BFFC17-1F4C-4458-8AD8-6E37FC58CFBB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мусорка, предчердак, МП</t>
        </r>
      </text>
    </comment>
    <comment ref="AT53" authorId="1" shapeId="0" xr:uid="{0C84C70F-C44B-4FC0-996F-9FC53F83EC76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</t>
        </r>
      </text>
    </comment>
    <comment ref="AW53" authorId="1" shapeId="0" xr:uid="{FB4C7639-1112-46D6-9F48-7B566E5089E4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</t>
        </r>
      </text>
    </comment>
    <comment ref="AX53" authorId="1" shapeId="0" xr:uid="{8ABF56A5-AE43-415E-9778-FB1F2274418C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МП, ВУ</t>
        </r>
      </text>
    </comment>
    <comment ref="AY53" authorId="1" shapeId="0" xr:uid="{1FBFFF13-4DDF-4FB3-B365-8AC79BA21126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</t>
        </r>
      </text>
    </comment>
    <comment ref="AZ53" authorId="1" shapeId="0" xr:uid="{40B26C08-F611-4CA6-A256-1D98BB4886F1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подвал, МП</t>
        </r>
      </text>
    </comment>
    <comment ref="BC53" authorId="1" shapeId="0" xr:uid="{10C26A06-A101-47DC-9B8E-7BC8051DF242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приямок, МП</t>
        </r>
      </text>
    </comment>
    <comment ref="BD53" authorId="1" shapeId="0" xr:uid="{1FF38A45-B64B-4DA1-8CA8-60946A187652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приямок, МП</t>
        </r>
      </text>
    </comment>
    <comment ref="BH53" authorId="1" shapeId="0" xr:uid="{69470C84-A4C0-4A05-80AC-602543D2D2EB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приямок, подвал</t>
        </r>
      </text>
    </comment>
    <comment ref="BK53" authorId="1" shapeId="0" xr:uid="{5C8BAC6E-5102-41E8-B947-1BB49A2A8E72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приямок, МП, ВУ</t>
        </r>
      </text>
    </comment>
    <comment ref="BL53" authorId="1" shapeId="0" xr:uid="{BB4863ED-DE57-4D93-A58F-FE8BC3205DDF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приямок, МП</t>
        </r>
      </text>
    </comment>
    <comment ref="BM53" authorId="1" shapeId="0" xr:uid="{2AC0A4DC-DB28-4835-BF00-DA8B7B41F83C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приямок, МП</t>
        </r>
      </text>
    </comment>
    <comment ref="BN53" authorId="1" shapeId="0" xr:uid="{DCBFF2B0-F08B-48A5-84D5-2C5D907DD244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приямок</t>
        </r>
      </text>
    </comment>
    <comment ref="BO53" authorId="1" shapeId="0" xr:uid="{98B752B0-1F59-4418-9478-8AC56833065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ТЦ, МП</t>
        </r>
      </text>
    </comment>
    <comment ref="BP53" authorId="1" shapeId="0" xr:uid="{872F67A1-6CFE-4200-B2EE-03D07F12D70E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подвал, ТЦ, мусорник, МП</t>
        </r>
      </text>
    </comment>
    <comment ref="BW53" authorId="1" shapeId="0" xr:uid="{C5A6A902-5A74-4925-A5CE-5A99B97AEA15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мусорник, подвал, ТЦ</t>
        </r>
      </text>
    </comment>
    <comment ref="CA53" authorId="1" shapeId="0" xr:uid="{266E8586-ACAE-4106-9D2F-4CD0256B7B93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ТЦ, ВУ, МП</t>
        </r>
      </text>
    </comment>
    <comment ref="CB53" authorId="1" shapeId="0" xr:uid="{2D11C3F7-3E4A-41A2-86B1-E629D617414F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ТЦ, ВУ, МП</t>
        </r>
      </text>
    </comment>
    <comment ref="U55" authorId="0" shapeId="0" xr:uid="{404EDDEC-AABE-4337-AAC7-B14C2F6A84AA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3, 4,  пар.</t>
        </r>
      </text>
    </comment>
    <comment ref="Y55" authorId="0" shapeId="0" xr:uid="{E799CF99-92D7-428B-A64A-D6437CF4D133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7 пар., эт. 1</t>
        </r>
      </text>
    </comment>
    <comment ref="AI55" authorId="0" shapeId="0" xr:uid="{3BBE74C6-EB5B-4EB0-8F8E-5D65046D12EA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4 пар. (без отсечек 5, 6, 7, 9)</t>
        </r>
      </text>
    </comment>
    <comment ref="AT55" authorId="1" shapeId="0" xr:uid="{4E133FEF-6EF6-4EBF-B987-9E7F0522C88D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1,2,3,4 пар 1-е этажи</t>
        </r>
      </text>
    </comment>
    <comment ref="AU55" authorId="0" shapeId="0" xr:uid="{984047B8-CAEA-4DBA-BC44-4DBBCD5EE7E6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5, 7, 9 пар. 1 эт.</t>
        </r>
      </text>
    </comment>
    <comment ref="AY55" authorId="0" shapeId="0" xr:uid="{94F4EB3A-C793-4C5A-908F-60A67DD3A812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3 пар., эт. 1-2</t>
        </r>
      </text>
    </comment>
    <comment ref="BE55" authorId="1" shapeId="0" xr:uid="{468ECA76-0347-4B66-9A8F-F2E89D2C6F3E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6,7,8,9,10,11,12,13,14,15,16,17,18 пар</t>
        </r>
      </text>
    </comment>
    <comment ref="BH55" authorId="1" shapeId="0" xr:uid="{58CD37F5-A060-4F47-B0A8-08618EAD5A60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2пар</t>
        </r>
      </text>
    </comment>
    <comment ref="BL55" authorId="1" shapeId="0" xr:uid="{16AAF9DB-7D4B-4479-94FD-A82FB029A692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6,7 пар</t>
        </r>
      </text>
    </comment>
    <comment ref="BM55" authorId="1" shapeId="0" xr:uid="{E60E43E1-3214-4F82-A598-97981E2A31C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12,14,15 пар 1-е этажи</t>
        </r>
      </text>
    </comment>
    <comment ref="CB55" authorId="0" shapeId="0" xr:uid="{001A6992-82DF-479B-A122-78198C441E80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2 пар., 1 эт.</t>
        </r>
      </text>
    </comment>
    <comment ref="BJ56" authorId="0" shapeId="0" xr:uid="{2D6938B9-A9D8-482A-A527-8CF5DA0B8048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6 этаж</t>
        </r>
      </text>
    </comment>
    <comment ref="I61" authorId="0" shapeId="0" xr:uid="{3CBF7969-A10F-4B08-9B74-2473583FB0C5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отмостка</t>
        </r>
      </text>
    </comment>
    <comment ref="F65" authorId="1" shapeId="0" xr:uid="{2311293C-4F08-40E7-9999-63EDB9F6034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9,10 этажи лифт холлы</t>
        </r>
      </text>
    </comment>
    <comment ref="G65" authorId="1" shapeId="0" xr:uid="{DB8A3CC0-B5D4-4537-8D53-206E3AE99570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входная 4 пар</t>
        </r>
      </text>
    </comment>
    <comment ref="R65" authorId="1" shapeId="0" xr:uid="{5D39B9E3-F1AF-483E-964C-F03567EE588E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6,7,8 этажи лифт холлы</t>
        </r>
      </text>
    </comment>
    <comment ref="T65" authorId="1" shapeId="0" xr:uid="{A43C7477-D0E9-4F33-B72D-D53A4913328E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 пар входная, 2 пар тамбурная</t>
        </r>
      </text>
    </comment>
    <comment ref="AC65" authorId="0" shapeId="0" xr:uid="{B0738117-8690-4A8C-A0FF-B95D014145E9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3 пар. На кровле веншахта</t>
        </r>
      </text>
    </comment>
    <comment ref="AE65" authorId="0" shapeId="0" xr:uid="{1B678A2E-E19B-44A1-8ED0-C7E267C79F55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4 пар. Колясочная-2шт., выходы на кровлю-6шт. 1, 4, 7 пар.</t>
        </r>
      </text>
    </comment>
    <comment ref="AH65" authorId="0" shapeId="0" xr:uid="{EE321198-1CC2-4351-B944-8784D145C9E9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дверь мусорную камеру 1, 2 пар.</t>
        </r>
      </text>
    </comment>
    <comment ref="AJ65" authorId="1" shapeId="0" xr:uid="{92AF9C13-6F3E-4232-BA9A-DC121DD7BCF4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12 пар тамбур и входная</t>
        </r>
      </text>
    </comment>
    <comment ref="AL65" authorId="1" shapeId="0" xr:uid="{0CCF1A8F-5914-4CE6-88EF-E8A358175F93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1-й этаж лифт холл и тамбур</t>
        </r>
      </text>
    </comment>
    <comment ref="AP65" authorId="0" shapeId="0" xr:uid="{32750691-C37D-4781-976B-71EC6A7C6D9A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10 пар. Входная дверь, 4 пар. мусорник</t>
        </r>
      </text>
    </comment>
    <comment ref="AS65" authorId="0" shapeId="0" xr:uid="{7E0BAC17-AE82-423B-88EC-C49F41D67368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дверь мусорную камеру 4, 6 пар.</t>
        </r>
      </text>
    </comment>
    <comment ref="AT65" authorId="0" shapeId="0" xr:uid="{3CB19AB8-E5E2-4934-AFC6-CE0E9F032623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дверь мусорную камеру 8 пар., решет на приямки 4, 8, 9 пар.</t>
        </r>
      </text>
    </comment>
    <comment ref="AU65" authorId="0" shapeId="0" xr:uid="{C02C5E72-2E53-450D-9DCE-0FC1E6190F9C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решетка в риямки 16, 19, 20 пар.</t>
        </r>
      </text>
    </comment>
    <comment ref="AW65" authorId="0" shapeId="0" xr:uid="{621FB576-4E61-40C2-8674-64FCA990BAA2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дверь мусорную камеру 5 пар.</t>
        </r>
      </text>
    </comment>
    <comment ref="AX65" authorId="0" shapeId="0" xr:uid="{37FA7A57-507B-4278-8695-9CF1A846971F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дверь мусорную камеру 5 пар.</t>
        </r>
      </text>
    </comment>
    <comment ref="AY65" authorId="1" shapeId="0" xr:uid="{F8F46808-0FCC-417F-9C14-CADDB6984CD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16,17, 18 пар тамбурные двери и 3 пар входная
</t>
        </r>
      </text>
    </comment>
    <comment ref="AZ65" authorId="1" shapeId="0" xr:uid="{2BF64746-E57A-4451-AF9D-D61258DD927E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входная 3
 пар</t>
        </r>
      </text>
    </comment>
    <comment ref="BA65" authorId="1" shapeId="0" xr:uid="{5C4BD776-7FE2-4A9C-BE1E-481C43E9B72B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черная лестница</t>
        </r>
      </text>
    </comment>
    <comment ref="BF65" authorId="0" shapeId="0" xr:uid="{875C2B80-3AE2-4F98-9489-693981E366CC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решетки т.ц. и в.у. дверь в в.у.</t>
        </r>
      </text>
    </comment>
    <comment ref="BI65" authorId="1" shapeId="0" xr:uid="{4C94894F-A422-4802-8B4B-16763DEA145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с 10 по 15 этажи выход на переходной балкон к черной лестнице</t>
        </r>
      </text>
    </comment>
    <comment ref="BK65" authorId="0" shapeId="0" xr:uid="{731BE999-6127-4FC0-8BBA-8379D963A5D8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решетка в риямки 9, 10 пар.</t>
        </r>
      </text>
    </comment>
    <comment ref="BN65" authorId="1" shapeId="0" xr:uid="{4B85AD91-A663-4EC3-958C-2313419623D4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4 пар входная</t>
        </r>
      </text>
    </comment>
    <comment ref="BQ65" authorId="0" shapeId="0" xr:uid="{90951005-AAB7-4545-9E4A-592A06F78262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3 пар. у мусорника</t>
        </r>
      </text>
    </comment>
    <comment ref="BT65" authorId="1" shapeId="0" xr:uid="{53CFA35A-E9AE-4954-9E49-8AEC2A5630D3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двери на мусорники</t>
        </r>
      </text>
    </comment>
    <comment ref="BW65" authorId="1" shapeId="0" xr:uid="{E316C0D4-61E3-4B8A-A430-0A5CBE5C23E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прикварт холл 1-й этаж</t>
        </r>
      </text>
    </comment>
    <comment ref="CA65" authorId="1" shapeId="0" xr:uid="{30C91A3D-A959-458E-9989-2994711C6DDA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приквартирный холл, и входная второго выхода</t>
        </r>
      </text>
    </comment>
    <comment ref="CO65" authorId="0" shapeId="0" xr:uid="{4571EE11-7222-4BA2-97E6-0CD16CC58B61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жалюзи на подв. окна
</t>
        </r>
      </text>
    </comment>
    <comment ref="CP65" authorId="0" shapeId="0" xr:uid="{86E019F3-115B-4F8D-AA46-A0993163D628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входные двери 2 шт. + жалюзи 2 шт.
</t>
        </r>
      </text>
    </comment>
    <comment ref="CQ65" authorId="0" shapeId="0" xr:uid="{80CB1637-2D04-4B4A-B122-92AF178E8B29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входные двери 2 шт. + жалюзи 2 шт.
</t>
        </r>
      </text>
    </comment>
    <comment ref="T67" authorId="1" shapeId="0" xr:uid="{17AD4583-9828-4669-A7D8-B27F09252F7E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2 пар 1-й этаж</t>
        </r>
      </text>
    </comment>
    <comment ref="AD67" authorId="1" shapeId="0" xr:uid="{72F6A060-0C5D-4F78-B113-3639E877F489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5 пар большие</t>
        </r>
      </text>
    </comment>
    <comment ref="AY67" authorId="1" shapeId="0" xr:uid="{09ACFFE2-C8E4-40D3-A3DF-991A404DFAE4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14,15,18 пар</t>
        </r>
      </text>
    </comment>
    <comment ref="BA67" authorId="0" shapeId="0" xr:uid="{2E3A1C8E-7773-45BE-B851-CE386E5AFD86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ремонт, остекление</t>
        </r>
      </text>
    </comment>
    <comment ref="CA67" authorId="1" shapeId="0" xr:uid="{43EF86D6-6381-4726-AF37-A67BC4F8ADA7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1-й выход</t>
        </r>
      </text>
    </comment>
    <comment ref="AP79" authorId="0" shapeId="0" xr:uid="{C007D5B5-F991-47F2-AA65-451C716E19DE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подходы к пар. 5, 6, 7, 8</t>
        </r>
      </text>
    </comment>
    <comment ref="AX79" authorId="0" shapeId="0" xr:uid="{0194B680-C4D5-4932-BF7E-DC4F033C3076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подход в пар. №6</t>
        </r>
      </text>
    </comment>
    <comment ref="BK79" authorId="0" shapeId="0" xr:uid="{425EC920-3593-4149-9E4C-20137AB2E8E3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асфальт и подходы к пар. 8, 11, 12</t>
        </r>
      </text>
    </comment>
    <comment ref="BP88" authorId="0" shapeId="0" xr:uid="{A77BCB70-3EEF-4E4E-AC69-FD6DED6F719B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3, 6, 8 пар. пожар. Гидрант + розлив</t>
        </r>
      </text>
    </comment>
    <comment ref="BQ88" authorId="0" shapeId="0" xr:uid="{CE32968E-7B19-485E-AF16-A5870651DF2E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2 пар. розлив</t>
        </r>
      </text>
    </comment>
    <comment ref="BS94" authorId="1" shapeId="0" xr:uid="{E8E96727-53D2-4F4C-A647-BD4E1B3A6C1F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регистров в приямках 10шт</t>
        </r>
      </text>
    </comment>
    <comment ref="I96" authorId="0" shapeId="0" xr:uid="{45A1B7EB-44E3-468D-A409-8677DCCAD624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задвижка</t>
        </r>
      </text>
    </comment>
    <comment ref="BN97" authorId="0" shapeId="0" xr:uid="{49F069BB-B13C-4A68-B811-D99D53E82B24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задвижка</t>
        </r>
      </text>
    </comment>
    <comment ref="BS97" authorId="0" shapeId="0" xr:uid="{60C33860-06C3-4CFA-B2FB-C0969C030191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задвижка</t>
        </r>
      </text>
    </comment>
    <comment ref="D101" authorId="0" shapeId="0" xr:uid="{B2735D82-489D-4412-B74E-430C27E20AB0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светильники</t>
        </r>
      </text>
    </comment>
    <comment ref="AX101" authorId="0" shapeId="0" xr:uid="{05685701-D2BF-47DC-9B6B-A419D078AEF2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светильники</t>
        </r>
      </text>
    </comment>
    <comment ref="BA101" authorId="0" shapeId="0" xr:uid="{76F0616B-4D5D-406A-80ED-C420DA5C69DC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светильники</t>
        </r>
      </text>
    </comment>
    <comment ref="BB101" authorId="0" shapeId="0" xr:uid="{94247243-FC73-498B-A3CC-8C350CE84C21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НББ</t>
        </r>
      </text>
    </comment>
    <comment ref="BR101" authorId="1" shapeId="0" xr:uid="{40B87DAE-78CD-46D5-8593-CB56C4B2C8E8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светильники с датчиками движения ч/л и у мусорника</t>
        </r>
      </text>
    </comment>
    <comment ref="BY101" authorId="0" shapeId="0" xr:uid="{3EDA8CB0-3810-410B-818B-4A7D36EC4279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ДРЛ</t>
        </r>
      </text>
    </comment>
    <comment ref="CA101" authorId="1" shapeId="0" xr:uid="{8CB6EEEF-C294-4A66-8935-6FB14DDFF4DA}">
      <text>
        <r>
          <rPr>
            <b/>
            <sz val="9"/>
            <color indexed="81"/>
            <rFont val="Tahoma"/>
            <family val="2"/>
            <charset val="204"/>
          </rPr>
          <t>Рамиля Рустамовна:</t>
        </r>
        <r>
          <rPr>
            <sz val="9"/>
            <color indexed="81"/>
            <rFont val="Tahoma"/>
            <family val="2"/>
            <charset val="204"/>
          </rPr>
          <t xml:space="preserve">
светильники 1-й этаж</t>
        </r>
      </text>
    </comment>
    <comment ref="CC101" authorId="0" shapeId="0" xr:uid="{65E48576-0D12-4DA8-B584-FDA3D0EA03FB}">
      <text>
        <r>
          <rPr>
            <b/>
            <sz val="9"/>
            <color indexed="81"/>
            <rFont val="Tahoma"/>
            <family val="2"/>
            <charset val="204"/>
          </rPr>
          <t>Vika:</t>
        </r>
        <r>
          <rPr>
            <sz val="9"/>
            <color indexed="81"/>
            <rFont val="Tahoma"/>
            <family val="2"/>
            <charset val="204"/>
          </rPr>
          <t xml:space="preserve">
светильники</t>
        </r>
      </text>
    </comment>
  </commentList>
</comments>
</file>

<file path=xl/sharedStrings.xml><?xml version="1.0" encoding="utf-8"?>
<sst xmlns="http://schemas.openxmlformats.org/spreadsheetml/2006/main" count="271" uniqueCount="183">
  <si>
    <t>ПЛАН ТЕКУЩЕГО РЕМОНТА ПО МНОГОКВАРТИРНЫМ ДОМАМ НА  2023 ГОД</t>
  </si>
  <si>
    <t>Наименование работ</t>
  </si>
  <si>
    <t>ед.изм.</t>
  </si>
  <si>
    <t>Всего</t>
  </si>
  <si>
    <t xml:space="preserve">Аэродромная  ул., д. 3 </t>
  </si>
  <si>
    <t>Аэродромная  ул.,  д. 5 к. 1</t>
  </si>
  <si>
    <t>Аэродромная  ул. д. 7 к. 4</t>
  </si>
  <si>
    <t>Аэродромная  ул. д. 7 к. 1</t>
  </si>
  <si>
    <t>Аэродромная ул.  д. 9 к. 1</t>
  </si>
  <si>
    <t>Аэродромная  ул. д. 11 к. 1</t>
  </si>
  <si>
    <t>Аэродромная ул.  д. 13</t>
  </si>
  <si>
    <t>Аэродромная ул.  д. 15</t>
  </si>
  <si>
    <t>Аэродромная  ул. д. 21</t>
  </si>
  <si>
    <t>Серебристый б-р, д. 5 к. 1</t>
  </si>
  <si>
    <t>Серебристый б-р, д. 6 к. 1</t>
  </si>
  <si>
    <t>Байконурская ул.д. 5 к. 1</t>
  </si>
  <si>
    <t>Богатырский пр.,  д. 4</t>
  </si>
  <si>
    <t>Хрулева ул.д. 6</t>
  </si>
  <si>
    <t>Аэродромная ул.  д. 7 к. 3</t>
  </si>
  <si>
    <t>Коломяжский пр., д. 12</t>
  </si>
  <si>
    <t>Богатырский пр., д. 10</t>
  </si>
  <si>
    <t>Богатырский пр. д. 3 к. 1</t>
  </si>
  <si>
    <t>Богатырский пр. д. 3 к. 2</t>
  </si>
  <si>
    <t>Богатырский пр. д. 5 к. 1</t>
  </si>
  <si>
    <t>Богатырский пр. д. 5 к. 2</t>
  </si>
  <si>
    <t>Богатырский пр. д. 5 к. 3</t>
  </si>
  <si>
    <t>Богатырский пр. д. 7 к. 2</t>
  </si>
  <si>
    <t>Богатырский пр. д. 7 к. 3</t>
  </si>
  <si>
    <t>Богатырский пр. д. 7 к. 5</t>
  </si>
  <si>
    <t>Богатырский пр. д. 7 к. 8</t>
  </si>
  <si>
    <t>Богатырский пр. д. 9</t>
  </si>
  <si>
    <t>Серебристый б-р, д. 9 к. 1</t>
  </si>
  <si>
    <t>Серебристый б-р, д. 11 к. 1</t>
  </si>
  <si>
    <t>Серебристый б-р, д. 12 к. 1</t>
  </si>
  <si>
    <t>Серебристый б-р, д. 13, к. 1</t>
  </si>
  <si>
    <t>Серебристый б-р, д. 15</t>
  </si>
  <si>
    <t xml:space="preserve">Испытателей пр, д. 6 к. 1 </t>
  </si>
  <si>
    <t>Испытателей пр, д. 6 к. 3</t>
  </si>
  <si>
    <t>Испытателей пр, д. 8 к. 2</t>
  </si>
  <si>
    <t>Испытателей пр, д. 16</t>
  </si>
  <si>
    <t>Байконурская ул.д. 7 к. 1</t>
  </si>
  <si>
    <t>Байконурская ул. д. 15</t>
  </si>
  <si>
    <t>Серебристый б-р, д. 16 к. 4</t>
  </si>
  <si>
    <t>Богатырский пр. д. 11</t>
  </si>
  <si>
    <t>Серебристый б-р, д. 22 к. 1</t>
  </si>
  <si>
    <t>Серебристый б-р, д. 22 к. 3</t>
  </si>
  <si>
    <t>Серебристый б-р, д. 24 к. 2</t>
  </si>
  <si>
    <t>Новоколомяжский пр. , д. 15</t>
  </si>
  <si>
    <t>Серебристый б-р, д. 28, к. 1</t>
  </si>
  <si>
    <t>Испытателей пр., д. 15 к. 1</t>
  </si>
  <si>
    <t>Поликарпова ал., д. 3 к. 1</t>
  </si>
  <si>
    <t>Поликарпова ал., д. 8 к. 1</t>
  </si>
  <si>
    <t>Поликарпова ал., д. 1</t>
  </si>
  <si>
    <t>Поликарпова ал., д. 4 к. 1</t>
  </si>
  <si>
    <t>Королева пр., д. 9</t>
  </si>
  <si>
    <t>Королева пр., д. 15/30</t>
  </si>
  <si>
    <t>Королева пр., д. 19</t>
  </si>
  <si>
    <t>Коломяжский пр., д. 32</t>
  </si>
  <si>
    <t>Коломяжский пр., д. 34 к. 2</t>
  </si>
  <si>
    <t>Парашютная ул.д. 4 к. 1</t>
  </si>
  <si>
    <t>Котельникова ал., д. 1</t>
  </si>
  <si>
    <t>Котельникова ал., д. 2</t>
  </si>
  <si>
    <t xml:space="preserve">Котельникова ал., д. 4 </t>
  </si>
  <si>
    <t>Котельникова ал., д. 6 к. 1</t>
  </si>
  <si>
    <t>Серебристый б-р., д.  34 к. 1</t>
  </si>
  <si>
    <t>Вербная ул. д. 13 к. 1</t>
  </si>
  <si>
    <t>Вербная ул. д. 14 к. 2</t>
  </si>
  <si>
    <t>Вербная ул. д. 18 к. 1</t>
  </si>
  <si>
    <t>Земский пер., д. 8 к. 2</t>
  </si>
  <si>
    <t>Афонская ул. д.  24 к. 3</t>
  </si>
  <si>
    <t>Репищева ул. д. 9</t>
  </si>
  <si>
    <t>Репищева ул. д. 11/9</t>
  </si>
  <si>
    <t>Репищева ул. д. 15 к. 3</t>
  </si>
  <si>
    <t>Репищева ул. д. 17 к. 1</t>
  </si>
  <si>
    <t>Репищева ул. д. 19 к. 3</t>
  </si>
  <si>
    <t>Щербакова ул. д.  5</t>
  </si>
  <si>
    <t>Щербакова ул. д.  6</t>
  </si>
  <si>
    <t>Щербакова ул. д.  9</t>
  </si>
  <si>
    <t>Новоколомяжский пр. д.  12 к. 2</t>
  </si>
  <si>
    <t>Новоколомяжский пр. д.  12 к. 3</t>
  </si>
  <si>
    <t>Вербная ул. д. 19 к. 1</t>
  </si>
  <si>
    <t>Заповедная ул. д. 25</t>
  </si>
  <si>
    <t>Заповедная ул. д. 27</t>
  </si>
  <si>
    <t>Заповедная ул. д. 29</t>
  </si>
  <si>
    <t>Заповедная ул. д. 31</t>
  </si>
  <si>
    <t>Заповедная ул. д. 33</t>
  </si>
  <si>
    <t>Заповедная ул. д. 35</t>
  </si>
  <si>
    <t>Заповедная ул. д. 39</t>
  </si>
  <si>
    <t>Заповедная ул. д. 41</t>
  </si>
  <si>
    <t>Заповедная ул. д. 43</t>
  </si>
  <si>
    <t>Заповедная ул. д. 45</t>
  </si>
  <si>
    <t>Заповедная ул. д. 37</t>
  </si>
  <si>
    <t>Новоалександровская ул. д. 60</t>
  </si>
  <si>
    <t>Новоалександровская ул. д. 62</t>
  </si>
  <si>
    <t>Новоалександровская ул. д. 64</t>
  </si>
  <si>
    <t>2-я Никитинская ул. д. 8</t>
  </si>
  <si>
    <t>2-я Никитинская ул. д. 10</t>
  </si>
  <si>
    <t>Фермское шоссе д. 36 к 5</t>
  </si>
  <si>
    <t>Фермское шоссе д. 36 к 6</t>
  </si>
  <si>
    <t>Фермское шоссе д. 36 к 27</t>
  </si>
  <si>
    <t>Чистяковская ул. д.1А</t>
  </si>
  <si>
    <t>ОБЩЕСТРОИТЕЛЬНЫЕ РАБОТЫ</t>
  </si>
  <si>
    <t>т.руб.</t>
  </si>
  <si>
    <t>Ремонт кровли</t>
  </si>
  <si>
    <t>кол-во домов</t>
  </si>
  <si>
    <t>в том числе,</t>
  </si>
  <si>
    <t>т.кв.м</t>
  </si>
  <si>
    <t>жесткой</t>
  </si>
  <si>
    <t>мягкой</t>
  </si>
  <si>
    <t>Усиление элементов деревянной стропильной системы</t>
  </si>
  <si>
    <t>Нормализация температурно-влажностного  режима  чердачных</t>
  </si>
  <si>
    <t>к-во домов</t>
  </si>
  <si>
    <t>помещений всего,   в  том  числе:</t>
  </si>
  <si>
    <t>Утепление (засыпка) чердачного перекрытия</t>
  </si>
  <si>
    <t>куб.м</t>
  </si>
  <si>
    <t>Дополнительная теплоизоляция верхней разводки системы</t>
  </si>
  <si>
    <t>п.м.</t>
  </si>
  <si>
    <t>отопления (по всей разводке)</t>
  </si>
  <si>
    <t>Покрытие фасонных частей верхней разводки теплоизоляционной</t>
  </si>
  <si>
    <t>краской</t>
  </si>
  <si>
    <t>Ремонт и замена  слуховых окон</t>
  </si>
  <si>
    <t>шт.</t>
  </si>
  <si>
    <t>Прочие работы (ремонт вентиляционных и дымоходных каналов и  т. д.)</t>
  </si>
  <si>
    <t>Ремонт и окраска фасадов (А.П.) всего, в том числе:</t>
  </si>
  <si>
    <t>Ремонт отделки фасада</t>
  </si>
  <si>
    <t>Ремонт балконов всего, в том числе:</t>
  </si>
  <si>
    <t>штуки</t>
  </si>
  <si>
    <t>Ремонт балконов (включая переходные балконы)</t>
  </si>
  <si>
    <t>ремонт эркеров</t>
  </si>
  <si>
    <t>ремонт лоджий</t>
  </si>
  <si>
    <t>Ремонт козырьков в подъезды, подвалы, над балконами верхних этажей</t>
  </si>
  <si>
    <t>Герметизация стыков стыков стеновых панелей</t>
  </si>
  <si>
    <t>т.п.м</t>
  </si>
  <si>
    <t>Ремонт приямков, входов в подвалы</t>
  </si>
  <si>
    <t xml:space="preserve">Косметический ремонт </t>
  </si>
  <si>
    <t xml:space="preserve"> лестничных клеток</t>
  </si>
  <si>
    <t>л/кл</t>
  </si>
  <si>
    <t xml:space="preserve">Восстановление отделки стен, потолков </t>
  </si>
  <si>
    <t>технических помещений</t>
  </si>
  <si>
    <t xml:space="preserve">Ремонт, замена и восстановление отдельных </t>
  </si>
  <si>
    <t>участков полов МОП</t>
  </si>
  <si>
    <t>т.руб</t>
  </si>
  <si>
    <t>Замена водосточных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</si>
  <si>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</si>
  <si>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</si>
  <si>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</si>
  <si>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 дверных заполнений</t>
  </si>
  <si>
    <t>Установка металлических дверей, решеток</t>
  </si>
  <si>
    <t>Ремонт и замена оконных</t>
  </si>
  <si>
    <t>заполнений</t>
  </si>
  <si>
    <t>Ремонт мусоропроводов (шиберов, стволов, клапанов)</t>
  </si>
  <si>
    <t>всего</t>
  </si>
  <si>
    <t>Ремонт печей</t>
  </si>
  <si>
    <t>Устранение местных дефориаций, усилинение, восстановление поврежденных участков фундаментов</t>
  </si>
  <si>
    <t>тыс.кв.м.</t>
  </si>
  <si>
    <t>Ремонт ти замена дефлекторов, оголовков труб</t>
  </si>
  <si>
    <t>Замена и  восстановление работоспособности  внутридомовой системы вентиляции</t>
  </si>
  <si>
    <t>тыс.п.м.</t>
  </si>
  <si>
    <t>Ремонт и восстановление разрушенных участков тротуаров, проездов, дорожек</t>
  </si>
  <si>
    <t>Замена почтовых ящиков</t>
  </si>
  <si>
    <t>САНИТАРНО-ТЕХНИЧЕСКИЕ РАБОТЫ</t>
  </si>
  <si>
    <t>Ремонт трубопроводов, всего,</t>
  </si>
  <si>
    <t>в том числе:</t>
  </si>
  <si>
    <t>ГВС</t>
  </si>
  <si>
    <t>т.п.м.</t>
  </si>
  <si>
    <t>ХВС</t>
  </si>
  <si>
    <t>теплоснабжения</t>
  </si>
  <si>
    <t xml:space="preserve">систем канализации </t>
  </si>
  <si>
    <t>Замена отопительных приборов</t>
  </si>
  <si>
    <t xml:space="preserve">Замена и ремонт эапорной арматуры </t>
  </si>
  <si>
    <t>систем Ц/О, ГВС, ХВС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</si>
  <si>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</si>
  <si>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</si>
  <si>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</si>
  <si>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</si>
  <si>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</si>
  <si>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</si>
  <si>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РАБОТЫ ВЫПОЛНЯЕМЫЕ СПЕЦИАЛИЗИРОВАННЫМИ ОРГАНИЗАЦИЯМИ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</si>
  <si>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</si>
  <si>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</si>
  <si>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 xml:space="preserve">Аварийно-восстановительные работы </t>
  </si>
  <si>
    <t>ИТОГО ПО ТЕКУЩЕМУ РЕМОНТУ:</t>
  </si>
  <si>
    <t>Испытателей пр, д. 20 к.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</si>
</sst>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Arial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5" fillId="0" borderId="0"/>
  </cellStyleXfs>
  <cellXfs count="129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/>
    <xf numFmtId="0" fontId="4" fillId="5" borderId="1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2" fontId="9" fillId="5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4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6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0" fillId="0" borderId="1" xfId="0" applyBorder="1"/>
    <xf numFmtId="0" fontId="6" fillId="3" borderId="1" xfId="1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/>
    <xf numFmtId="0" fontId="9" fillId="3" borderId="1" xfId="0" applyFont="1" applyFill="1" applyBorder="1"/>
    <xf numFmtId="166" fontId="4" fillId="3" borderId="1" xfId="0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0" borderId="1" xfId="0" applyFont="1" applyBorder="1" applyAlignment="1">
      <alignment horizontal="center"/>
    </xf>
    <xf numFmtId="0" fontId="9" fillId="4" borderId="1" xfId="0" applyFont="1" applyFill="1" applyBorder="1"/>
    <xf numFmtId="0" fontId="4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1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/>
    <xf numFmtId="0" fontId="9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4" fontId="9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2" fontId="10" fillId="3" borderId="0" xfId="0" applyNumberFormat="1" applyFont="1" applyFill="1"/>
    <xf numFmtId="2" fontId="0" fillId="3" borderId="0" xfId="0" applyNumberFormat="1" applyFill="1"/>
    <xf numFmtId="2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3" borderId="0" xfId="0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17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 xr:uid="{0E61C93B-04EC-4B68-B9F2-2C716F0535C8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BD9A-8CBE-4A4C-850F-BB8FDFC2473B}">
  <sheetPr>
    <pageSetUpPr fitToPage="1"/>
  </sheetPr>
  <dimension ref="A1:CW110"/>
  <sheetViews>
    <sheetView tabSelected="1" topLeftCell="A2" zoomScaleNormal="100" workbookViewId="0">
      <selection activeCell="L68" sqref="L68"/>
    </sheetView>
  </sheetViews>
  <sheetFormatPr defaultRowHeight="15.75" x14ac:dyDescent="0.25"/>
  <cols>
    <col min="1" max="1" width="42" customWidth="1"/>
    <col min="2" max="2" width="16" style="108" customWidth="1"/>
    <col min="3" max="3" width="13.7109375" style="1" customWidth="1"/>
    <col min="4" max="4" width="12.85546875" customWidth="1"/>
    <col min="5" max="5" width="13.28515625" customWidth="1"/>
    <col min="6" max="6" width="13.5703125" customWidth="1"/>
    <col min="7" max="7" width="13.85546875" customWidth="1"/>
    <col min="8" max="8" width="14.140625" customWidth="1"/>
    <col min="9" max="9" width="14" customWidth="1"/>
    <col min="10" max="10" width="13.7109375" customWidth="1"/>
    <col min="11" max="11" width="14" customWidth="1"/>
    <col min="12" max="12" width="13.5703125" customWidth="1"/>
    <col min="13" max="13" width="13" customWidth="1"/>
    <col min="14" max="14" width="12.7109375" customWidth="1"/>
    <col min="15" max="15" width="12.28515625" customWidth="1"/>
    <col min="16" max="16" width="12.7109375" style="1" customWidth="1"/>
    <col min="17" max="17" width="13" customWidth="1"/>
    <col min="18" max="18" width="12.28515625" customWidth="1"/>
    <col min="19" max="19" width="12.42578125" customWidth="1"/>
    <col min="20" max="20" width="12.7109375" customWidth="1"/>
    <col min="21" max="21" width="13.140625" customWidth="1"/>
    <col min="22" max="22" width="13.28515625" customWidth="1"/>
    <col min="23" max="23" width="13.5703125" style="1" customWidth="1"/>
    <col min="24" max="25" width="14" customWidth="1"/>
    <col min="26" max="26" width="14.140625" customWidth="1"/>
    <col min="27" max="27" width="14.42578125" customWidth="1"/>
    <col min="28" max="28" width="14.7109375" customWidth="1"/>
    <col min="29" max="29" width="14.85546875" customWidth="1"/>
    <col min="30" max="31" width="15.28515625" customWidth="1"/>
    <col min="32" max="32" width="15.42578125" customWidth="1"/>
    <col min="33" max="33" width="15.85546875" customWidth="1"/>
    <col min="34" max="34" width="15.5703125" customWidth="1"/>
    <col min="35" max="35" width="14.85546875" customWidth="1"/>
    <col min="36" max="36" width="14.85546875" style="1" customWidth="1"/>
    <col min="37" max="37" width="14.7109375" customWidth="1"/>
    <col min="38" max="38" width="15.140625" customWidth="1"/>
    <col min="39" max="39" width="15" customWidth="1"/>
    <col min="40" max="41" width="15.140625" customWidth="1"/>
    <col min="42" max="42" width="14.85546875" customWidth="1"/>
    <col min="43" max="43" width="15.140625" customWidth="1"/>
    <col min="44" max="45" width="15.42578125" customWidth="1"/>
    <col min="46" max="47" width="15.5703125" customWidth="1"/>
    <col min="48" max="48" width="15.85546875" customWidth="1"/>
    <col min="49" max="49" width="15.7109375" customWidth="1"/>
    <col min="50" max="53" width="16" customWidth="1"/>
    <col min="54" max="55" width="16.140625" customWidth="1"/>
    <col min="56" max="56" width="16.140625" style="1" customWidth="1"/>
    <col min="57" max="57" width="16" style="1" customWidth="1"/>
    <col min="58" max="58" width="15.7109375" customWidth="1"/>
    <col min="59" max="59" width="15.5703125" customWidth="1"/>
    <col min="60" max="60" width="15.7109375" customWidth="1"/>
    <col min="61" max="62" width="15.85546875" customWidth="1"/>
    <col min="63" max="63" width="15.7109375" customWidth="1"/>
    <col min="64" max="64" width="16" customWidth="1"/>
    <col min="65" max="65" width="16.140625" customWidth="1"/>
    <col min="66" max="66" width="16" customWidth="1"/>
    <col min="67" max="67" width="15.85546875" customWidth="1"/>
    <col min="68" max="69" width="15.7109375" style="1" customWidth="1"/>
    <col min="70" max="70" width="16.140625" style="1" customWidth="1"/>
    <col min="71" max="73" width="16.140625" customWidth="1"/>
    <col min="74" max="75" width="16.140625" style="1" customWidth="1"/>
    <col min="76" max="101" width="16.140625" customWidth="1"/>
  </cols>
  <sheetData>
    <row r="1" spans="1:101" hidden="1" x14ac:dyDescent="0.25">
      <c r="A1" s="109"/>
      <c r="B1" s="110"/>
      <c r="C1" s="111"/>
    </row>
    <row r="2" spans="1:101" ht="59.25" customHeight="1" x14ac:dyDescent="0.3">
      <c r="A2" s="113" t="s">
        <v>0</v>
      </c>
      <c r="B2" s="113"/>
      <c r="C2" s="113"/>
    </row>
    <row r="3" spans="1:101" ht="22.5" customHeight="1" x14ac:dyDescent="0.3">
      <c r="A3" s="112"/>
      <c r="B3" s="112"/>
      <c r="C3" s="112"/>
    </row>
    <row r="4" spans="1:101" ht="54.95" customHeight="1" x14ac:dyDescent="0.25">
      <c r="A4" s="114" t="s">
        <v>1</v>
      </c>
      <c r="B4" s="115" t="s">
        <v>2</v>
      </c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7" t="s">
        <v>8</v>
      </c>
      <c r="I4" s="117" t="s">
        <v>9</v>
      </c>
      <c r="J4" s="117" t="s">
        <v>10</v>
      </c>
      <c r="K4" s="117" t="s">
        <v>11</v>
      </c>
      <c r="L4" s="117" t="s">
        <v>12</v>
      </c>
      <c r="M4" s="117" t="s">
        <v>13</v>
      </c>
      <c r="N4" s="117" t="s">
        <v>14</v>
      </c>
      <c r="O4" s="117" t="s">
        <v>15</v>
      </c>
      <c r="P4" s="117" t="s">
        <v>16</v>
      </c>
      <c r="Q4" s="117" t="s">
        <v>17</v>
      </c>
      <c r="R4" s="117" t="s">
        <v>18</v>
      </c>
      <c r="S4" s="117" t="s">
        <v>19</v>
      </c>
      <c r="T4" s="117" t="s">
        <v>20</v>
      </c>
      <c r="U4" s="118" t="s">
        <v>21</v>
      </c>
      <c r="V4" s="118" t="s">
        <v>22</v>
      </c>
      <c r="W4" s="118" t="s">
        <v>23</v>
      </c>
      <c r="X4" s="118" t="s">
        <v>24</v>
      </c>
      <c r="Y4" s="118" t="s">
        <v>25</v>
      </c>
      <c r="Z4" s="118" t="s">
        <v>26</v>
      </c>
      <c r="AA4" s="118" t="s">
        <v>27</v>
      </c>
      <c r="AB4" s="118" t="s">
        <v>28</v>
      </c>
      <c r="AC4" s="118" t="s">
        <v>29</v>
      </c>
      <c r="AD4" s="118" t="s">
        <v>30</v>
      </c>
      <c r="AE4" s="117" t="s">
        <v>31</v>
      </c>
      <c r="AF4" s="117" t="s">
        <v>32</v>
      </c>
      <c r="AG4" s="117" t="s">
        <v>33</v>
      </c>
      <c r="AH4" s="117" t="s">
        <v>34</v>
      </c>
      <c r="AI4" s="117" t="s">
        <v>35</v>
      </c>
      <c r="AJ4" s="119" t="s">
        <v>36</v>
      </c>
      <c r="AK4" s="119" t="s">
        <v>37</v>
      </c>
      <c r="AL4" s="119" t="s">
        <v>38</v>
      </c>
      <c r="AM4" s="119" t="s">
        <v>39</v>
      </c>
      <c r="AN4" s="117" t="s">
        <v>182</v>
      </c>
      <c r="AO4" s="119" t="s">
        <v>40</v>
      </c>
      <c r="AP4" s="119" t="s">
        <v>41</v>
      </c>
      <c r="AQ4" s="117" t="s">
        <v>42</v>
      </c>
      <c r="AR4" s="118" t="s">
        <v>43</v>
      </c>
      <c r="AS4" s="118" t="s">
        <v>44</v>
      </c>
      <c r="AT4" s="118" t="s">
        <v>45</v>
      </c>
      <c r="AU4" s="118" t="s">
        <v>46</v>
      </c>
      <c r="AV4" s="118" t="s">
        <v>47</v>
      </c>
      <c r="AW4" s="118" t="s">
        <v>48</v>
      </c>
      <c r="AX4" s="117" t="s">
        <v>49</v>
      </c>
      <c r="AY4" s="117" t="s">
        <v>50</v>
      </c>
      <c r="AZ4" s="117" t="s">
        <v>51</v>
      </c>
      <c r="BA4" s="117" t="s">
        <v>52</v>
      </c>
      <c r="BB4" s="117" t="s">
        <v>53</v>
      </c>
      <c r="BC4" s="117" t="s">
        <v>54</v>
      </c>
      <c r="BD4" s="117" t="s">
        <v>55</v>
      </c>
      <c r="BE4" s="117" t="s">
        <v>56</v>
      </c>
      <c r="BF4" s="117" t="s">
        <v>57</v>
      </c>
      <c r="BG4" s="117" t="s">
        <v>58</v>
      </c>
      <c r="BH4" s="117" t="s">
        <v>59</v>
      </c>
      <c r="BI4" s="117" t="s">
        <v>60</v>
      </c>
      <c r="BJ4" s="117" t="s">
        <v>61</v>
      </c>
      <c r="BK4" s="117" t="s">
        <v>62</v>
      </c>
      <c r="BL4" s="117" t="s">
        <v>63</v>
      </c>
      <c r="BM4" s="117" t="s">
        <v>64</v>
      </c>
      <c r="BN4" s="117" t="s">
        <v>65</v>
      </c>
      <c r="BO4" s="117" t="s">
        <v>66</v>
      </c>
      <c r="BP4" s="117" t="s">
        <v>67</v>
      </c>
      <c r="BQ4" s="117" t="s">
        <v>68</v>
      </c>
      <c r="BR4" s="117" t="s">
        <v>69</v>
      </c>
      <c r="BS4" s="117" t="s">
        <v>70</v>
      </c>
      <c r="BT4" s="117" t="s">
        <v>71</v>
      </c>
      <c r="BU4" s="117" t="s">
        <v>72</v>
      </c>
      <c r="BV4" s="117" t="s">
        <v>73</v>
      </c>
      <c r="BW4" s="117" t="s">
        <v>74</v>
      </c>
      <c r="BX4" s="117" t="s">
        <v>75</v>
      </c>
      <c r="BY4" s="117" t="s">
        <v>76</v>
      </c>
      <c r="BZ4" s="117" t="s">
        <v>77</v>
      </c>
      <c r="CA4" s="117" t="s">
        <v>78</v>
      </c>
      <c r="CB4" s="117" t="s">
        <v>79</v>
      </c>
      <c r="CC4" s="117" t="s">
        <v>80</v>
      </c>
      <c r="CD4" s="117" t="s">
        <v>81</v>
      </c>
      <c r="CE4" s="117" t="s">
        <v>82</v>
      </c>
      <c r="CF4" s="117" t="s">
        <v>83</v>
      </c>
      <c r="CG4" s="117" t="s">
        <v>84</v>
      </c>
      <c r="CH4" s="117" t="s">
        <v>85</v>
      </c>
      <c r="CI4" s="117" t="s">
        <v>86</v>
      </c>
      <c r="CJ4" s="117" t="s">
        <v>87</v>
      </c>
      <c r="CK4" s="117" t="s">
        <v>88</v>
      </c>
      <c r="CL4" s="117" t="s">
        <v>89</v>
      </c>
      <c r="CM4" s="117" t="s">
        <v>90</v>
      </c>
      <c r="CN4" s="117" t="s">
        <v>91</v>
      </c>
      <c r="CO4" s="117" t="s">
        <v>92</v>
      </c>
      <c r="CP4" s="117" t="s">
        <v>93</v>
      </c>
      <c r="CQ4" s="117" t="s">
        <v>94</v>
      </c>
      <c r="CR4" s="117" t="s">
        <v>95</v>
      </c>
      <c r="CS4" s="117" t="s">
        <v>96</v>
      </c>
      <c r="CT4" s="117" t="s">
        <v>97</v>
      </c>
      <c r="CU4" s="117" t="s">
        <v>98</v>
      </c>
      <c r="CV4" s="117" t="s">
        <v>99</v>
      </c>
      <c r="CW4" s="117" t="s">
        <v>100</v>
      </c>
    </row>
    <row r="5" spans="1:101" ht="54.95" customHeight="1" x14ac:dyDescent="0.25">
      <c r="A5" s="114"/>
      <c r="B5" s="115"/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7"/>
      <c r="AF5" s="117"/>
      <c r="AG5" s="117"/>
      <c r="AH5" s="117"/>
      <c r="AI5" s="117"/>
      <c r="AJ5" s="119"/>
      <c r="AK5" s="119"/>
      <c r="AL5" s="119"/>
      <c r="AM5" s="119"/>
      <c r="AN5" s="117"/>
      <c r="AO5" s="119"/>
      <c r="AP5" s="119"/>
      <c r="AQ5" s="117"/>
      <c r="AR5" s="118"/>
      <c r="AS5" s="118"/>
      <c r="AT5" s="118"/>
      <c r="AU5" s="118"/>
      <c r="AV5" s="118"/>
      <c r="AW5" s="118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</row>
    <row r="6" spans="1:101" ht="54.95" customHeight="1" x14ac:dyDescent="0.25">
      <c r="A6" s="114"/>
      <c r="B6" s="115"/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7"/>
      <c r="AF6" s="117"/>
      <c r="AG6" s="117"/>
      <c r="AH6" s="117"/>
      <c r="AI6" s="117"/>
      <c r="AJ6" s="119"/>
      <c r="AK6" s="119"/>
      <c r="AL6" s="119"/>
      <c r="AM6" s="119"/>
      <c r="AN6" s="117"/>
      <c r="AO6" s="119"/>
      <c r="AP6" s="119"/>
      <c r="AQ6" s="117"/>
      <c r="AR6" s="118"/>
      <c r="AS6" s="118"/>
      <c r="AT6" s="118"/>
      <c r="AU6" s="118"/>
      <c r="AV6" s="118"/>
      <c r="AW6" s="118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</row>
    <row r="7" spans="1:101" ht="9.75" customHeight="1" x14ac:dyDescent="0.25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  <c r="W7" s="6"/>
      <c r="X7" s="6"/>
      <c r="Y7" s="6"/>
      <c r="Z7" s="6"/>
      <c r="AA7" s="6"/>
      <c r="AB7" s="6"/>
      <c r="AC7" s="6"/>
      <c r="AD7" s="6"/>
      <c r="AE7" s="7"/>
      <c r="AF7" s="7"/>
      <c r="AG7" s="7"/>
      <c r="AH7" s="7"/>
      <c r="AI7" s="7"/>
      <c r="AJ7" s="8"/>
      <c r="AK7" s="8"/>
      <c r="AL7" s="8"/>
      <c r="AM7" s="8"/>
      <c r="AN7" s="8"/>
      <c r="AO7" s="8"/>
      <c r="AP7" s="8"/>
      <c r="AQ7" s="7"/>
      <c r="AR7" s="6"/>
      <c r="AS7" s="6"/>
      <c r="AT7" s="6"/>
      <c r="AU7" s="6"/>
      <c r="AV7" s="6"/>
      <c r="AW7" s="6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1:101" x14ac:dyDescent="0.25">
      <c r="A8" s="9" t="s">
        <v>101</v>
      </c>
      <c r="B8" s="10" t="s">
        <v>102</v>
      </c>
      <c r="C8" s="11">
        <f>C11+C18+C29+C52+C54+C56+C58+C60+C62+C64+C66+C68+C70+C72+C74+C76+C78+C80+C82</f>
        <v>62238.700000000004</v>
      </c>
      <c r="D8" s="11">
        <f t="shared" ref="D8:BO8" si="0">D11+D18+D29+D52+D54+D56+D58+D60+D62+D64+D66+D68+D70+D72+D74+D76+D78+D80+D82</f>
        <v>1335.3349999999998</v>
      </c>
      <c r="E8" s="11">
        <f t="shared" si="0"/>
        <v>0</v>
      </c>
      <c r="F8" s="11">
        <f t="shared" si="0"/>
        <v>144.32</v>
      </c>
      <c r="G8" s="11">
        <f t="shared" si="0"/>
        <v>440</v>
      </c>
      <c r="H8" s="11">
        <f t="shared" si="0"/>
        <v>832.56</v>
      </c>
      <c r="I8" s="11">
        <f t="shared" si="0"/>
        <v>1858.4649999999999</v>
      </c>
      <c r="J8" s="11">
        <f t="shared" si="0"/>
        <v>21.76</v>
      </c>
      <c r="K8" s="11">
        <f t="shared" si="0"/>
        <v>24.91</v>
      </c>
      <c r="L8" s="11">
        <f t="shared" si="0"/>
        <v>10.97</v>
      </c>
      <c r="M8" s="11">
        <f t="shared" si="0"/>
        <v>1007.77</v>
      </c>
      <c r="N8" s="11">
        <f t="shared" si="0"/>
        <v>1636.0950000000003</v>
      </c>
      <c r="O8" s="11">
        <f t="shared" si="0"/>
        <v>2533.6</v>
      </c>
      <c r="P8" s="11">
        <f t="shared" si="0"/>
        <v>1024.2</v>
      </c>
      <c r="Q8" s="11">
        <f t="shared" si="0"/>
        <v>0</v>
      </c>
      <c r="R8" s="11">
        <f t="shared" si="0"/>
        <v>234.92</v>
      </c>
      <c r="S8" s="11">
        <f t="shared" si="0"/>
        <v>0</v>
      </c>
      <c r="T8" s="11">
        <f t="shared" si="0"/>
        <v>675.53000000000009</v>
      </c>
      <c r="U8" s="11">
        <f t="shared" si="0"/>
        <v>1706.3400000000001</v>
      </c>
      <c r="V8" s="11">
        <f t="shared" si="0"/>
        <v>28.5</v>
      </c>
      <c r="W8" s="11">
        <f t="shared" si="0"/>
        <v>99.96</v>
      </c>
      <c r="X8" s="11">
        <f t="shared" si="0"/>
        <v>38</v>
      </c>
      <c r="Y8" s="11">
        <f t="shared" si="0"/>
        <v>625.13499999999999</v>
      </c>
      <c r="Z8" s="11">
        <f t="shared" si="0"/>
        <v>0</v>
      </c>
      <c r="AA8" s="11">
        <f t="shared" si="0"/>
        <v>1115.3999999999999</v>
      </c>
      <c r="AB8" s="11">
        <f t="shared" si="0"/>
        <v>0</v>
      </c>
      <c r="AC8" s="11">
        <f t="shared" si="0"/>
        <v>34.630000000000003</v>
      </c>
      <c r="AD8" s="11">
        <f t="shared" si="0"/>
        <v>467.13</v>
      </c>
      <c r="AE8" s="11">
        <f t="shared" si="0"/>
        <v>865.56</v>
      </c>
      <c r="AF8" s="11">
        <f t="shared" si="0"/>
        <v>0</v>
      </c>
      <c r="AG8" s="11">
        <f t="shared" si="0"/>
        <v>1056.6299999999999</v>
      </c>
      <c r="AH8" s="11">
        <f t="shared" si="0"/>
        <v>439.92999999999995</v>
      </c>
      <c r="AI8" s="11">
        <f t="shared" si="0"/>
        <v>2278.7320000000004</v>
      </c>
      <c r="AJ8" s="11">
        <f t="shared" si="0"/>
        <v>268.52</v>
      </c>
      <c r="AK8" s="11">
        <f t="shared" si="0"/>
        <v>0</v>
      </c>
      <c r="AL8" s="11">
        <f t="shared" si="0"/>
        <v>0</v>
      </c>
      <c r="AM8" s="11">
        <f t="shared" si="0"/>
        <v>0</v>
      </c>
      <c r="AN8" s="11">
        <f t="shared" si="0"/>
        <v>0</v>
      </c>
      <c r="AO8" s="11">
        <f t="shared" si="0"/>
        <v>267.73</v>
      </c>
      <c r="AP8" s="11">
        <f t="shared" si="0"/>
        <v>1691.1</v>
      </c>
      <c r="AQ8" s="11">
        <f t="shared" si="0"/>
        <v>4.99</v>
      </c>
      <c r="AR8" s="11">
        <f t="shared" si="0"/>
        <v>51.84</v>
      </c>
      <c r="AS8" s="11">
        <f t="shared" si="0"/>
        <v>192.41000000000003</v>
      </c>
      <c r="AT8" s="11">
        <f t="shared" si="0"/>
        <v>2816.0649999999996</v>
      </c>
      <c r="AU8" s="11">
        <f t="shared" si="0"/>
        <v>2526.8599999999992</v>
      </c>
      <c r="AV8" s="11">
        <f t="shared" si="0"/>
        <v>335.4</v>
      </c>
      <c r="AW8" s="11">
        <f t="shared" si="0"/>
        <v>988.94499999999982</v>
      </c>
      <c r="AX8" s="11">
        <f t="shared" si="0"/>
        <v>805.36500000000001</v>
      </c>
      <c r="AY8" s="11">
        <f t="shared" si="0"/>
        <v>2761.6279999999997</v>
      </c>
      <c r="AZ8" s="11">
        <f t="shared" si="0"/>
        <v>881.2600000000001</v>
      </c>
      <c r="BA8" s="11">
        <f t="shared" si="0"/>
        <v>122.35</v>
      </c>
      <c r="BB8" s="11">
        <f t="shared" si="0"/>
        <v>370.62</v>
      </c>
      <c r="BC8" s="11">
        <f t="shared" si="0"/>
        <v>1109.06</v>
      </c>
      <c r="BD8" s="11">
        <f t="shared" si="0"/>
        <v>1723.2199999999998</v>
      </c>
      <c r="BE8" s="11">
        <f t="shared" si="0"/>
        <v>4400.38</v>
      </c>
      <c r="BF8" s="11">
        <f t="shared" si="0"/>
        <v>214.98999999999995</v>
      </c>
      <c r="BG8" s="11">
        <f t="shared" si="0"/>
        <v>276.83999999999997</v>
      </c>
      <c r="BH8" s="11">
        <f t="shared" si="0"/>
        <v>1207.1300000000001</v>
      </c>
      <c r="BI8" s="11">
        <f t="shared" si="0"/>
        <v>2444.4899999999998</v>
      </c>
      <c r="BJ8" s="11">
        <f t="shared" si="0"/>
        <v>322.23</v>
      </c>
      <c r="BK8" s="11">
        <f t="shared" si="0"/>
        <v>1648.4050000000002</v>
      </c>
      <c r="BL8" s="11">
        <f t="shared" si="0"/>
        <v>2590.87</v>
      </c>
      <c r="BM8" s="11">
        <f t="shared" si="0"/>
        <v>2204.6649999999995</v>
      </c>
      <c r="BN8" s="11">
        <f t="shared" si="0"/>
        <v>390.66</v>
      </c>
      <c r="BO8" s="11">
        <f t="shared" si="0"/>
        <v>1345.03</v>
      </c>
      <c r="BP8" s="11">
        <f t="shared" ref="BP8:CW8" si="1">BP11+BP18+BP29+BP52+BP54+BP56+BP58+BP60+BP62+BP64+BP66+BP68+BP70+BP72+BP74+BP76+BP78+BP80+BP82</f>
        <v>1728.675</v>
      </c>
      <c r="BQ8" s="11">
        <f t="shared" si="1"/>
        <v>610.95000000000005</v>
      </c>
      <c r="BR8" s="11">
        <f t="shared" si="1"/>
        <v>0</v>
      </c>
      <c r="BS8" s="11">
        <f t="shared" si="1"/>
        <v>0</v>
      </c>
      <c r="BT8" s="11">
        <f t="shared" si="1"/>
        <v>604.26</v>
      </c>
      <c r="BU8" s="11">
        <f t="shared" si="1"/>
        <v>5.33</v>
      </c>
      <c r="BV8" s="11">
        <f t="shared" si="1"/>
        <v>0</v>
      </c>
      <c r="BW8" s="11">
        <f t="shared" si="1"/>
        <v>0</v>
      </c>
      <c r="BX8" s="11">
        <f t="shared" si="1"/>
        <v>57</v>
      </c>
      <c r="BY8" s="11">
        <f t="shared" si="1"/>
        <v>367.06</v>
      </c>
      <c r="BZ8" s="11">
        <f t="shared" si="1"/>
        <v>78.87</v>
      </c>
      <c r="CA8" s="11">
        <f t="shared" si="1"/>
        <v>1464.1699999999998</v>
      </c>
      <c r="CB8" s="11">
        <f t="shared" si="1"/>
        <v>1711.64</v>
      </c>
      <c r="CC8" s="11">
        <f t="shared" si="1"/>
        <v>815.3</v>
      </c>
      <c r="CD8" s="11">
        <f t="shared" si="1"/>
        <v>0</v>
      </c>
      <c r="CE8" s="11">
        <f t="shared" si="1"/>
        <v>0</v>
      </c>
      <c r="CF8" s="11">
        <f t="shared" si="1"/>
        <v>0</v>
      </c>
      <c r="CG8" s="11">
        <f t="shared" si="1"/>
        <v>0</v>
      </c>
      <c r="CH8" s="11">
        <f t="shared" si="1"/>
        <v>0</v>
      </c>
      <c r="CI8" s="11">
        <f t="shared" si="1"/>
        <v>0</v>
      </c>
      <c r="CJ8" s="11">
        <f t="shared" si="1"/>
        <v>0</v>
      </c>
      <c r="CK8" s="11">
        <f t="shared" si="1"/>
        <v>0</v>
      </c>
      <c r="CL8" s="11">
        <f t="shared" si="1"/>
        <v>0</v>
      </c>
      <c r="CM8" s="11">
        <f t="shared" si="1"/>
        <v>0</v>
      </c>
      <c r="CN8" s="11">
        <f t="shared" si="1"/>
        <v>0</v>
      </c>
      <c r="CO8" s="11">
        <f t="shared" si="1"/>
        <v>35.86</v>
      </c>
      <c r="CP8" s="11">
        <f t="shared" si="1"/>
        <v>116.33</v>
      </c>
      <c r="CQ8" s="11">
        <f t="shared" si="1"/>
        <v>143.82</v>
      </c>
      <c r="CR8" s="11">
        <f t="shared" si="1"/>
        <v>0</v>
      </c>
      <c r="CS8" s="11">
        <f t="shared" si="1"/>
        <v>0</v>
      </c>
      <c r="CT8" s="11">
        <f t="shared" si="1"/>
        <v>0</v>
      </c>
      <c r="CU8" s="11">
        <f t="shared" si="1"/>
        <v>0</v>
      </c>
      <c r="CV8" s="11">
        <f t="shared" si="1"/>
        <v>0</v>
      </c>
      <c r="CW8" s="11">
        <f t="shared" si="1"/>
        <v>0</v>
      </c>
    </row>
    <row r="9" spans="1:101" x14ac:dyDescent="0.25">
      <c r="A9" s="12" t="s">
        <v>103</v>
      </c>
      <c r="B9" s="13" t="s">
        <v>104</v>
      </c>
      <c r="C9" s="14">
        <v>11</v>
      </c>
      <c r="D9" s="14"/>
      <c r="E9" s="14"/>
      <c r="F9" s="14"/>
      <c r="G9" s="14"/>
      <c r="H9" s="14"/>
      <c r="I9" s="14"/>
      <c r="J9" s="14"/>
      <c r="K9" s="14"/>
      <c r="L9" s="14"/>
      <c r="M9" s="14">
        <v>1</v>
      </c>
      <c r="N9" s="14"/>
      <c r="O9" s="14">
        <v>1</v>
      </c>
      <c r="P9" s="14"/>
      <c r="Q9" s="14"/>
      <c r="R9" s="14"/>
      <c r="S9" s="14"/>
      <c r="T9" s="14">
        <v>1</v>
      </c>
      <c r="U9" s="14"/>
      <c r="V9" s="14"/>
      <c r="W9" s="14">
        <v>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>
        <v>1</v>
      </c>
      <c r="AK9" s="14"/>
      <c r="AL9" s="14"/>
      <c r="AM9" s="14"/>
      <c r="AN9" s="14"/>
      <c r="AO9" s="14"/>
      <c r="AP9" s="14"/>
      <c r="AQ9" s="14"/>
      <c r="AR9" s="14"/>
      <c r="AS9" s="14"/>
      <c r="AT9" s="14">
        <v>1</v>
      </c>
      <c r="AU9" s="14"/>
      <c r="AV9" s="14"/>
      <c r="AW9" s="14"/>
      <c r="AX9" s="14"/>
      <c r="AY9" s="14">
        <v>1</v>
      </c>
      <c r="AZ9" s="14"/>
      <c r="BA9" s="14"/>
      <c r="BB9" s="14">
        <v>1</v>
      </c>
      <c r="BC9" s="14"/>
      <c r="BD9" s="14"/>
      <c r="BE9" s="14"/>
      <c r="BF9" s="14"/>
      <c r="BG9" s="14"/>
      <c r="BH9" s="14">
        <v>1</v>
      </c>
      <c r="BI9" s="14"/>
      <c r="BJ9" s="14"/>
      <c r="BK9" s="14"/>
      <c r="BL9" s="14"/>
      <c r="BM9" s="14">
        <v>1</v>
      </c>
      <c r="BN9" s="14"/>
      <c r="BO9" s="14"/>
      <c r="BP9" s="14">
        <v>1</v>
      </c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x14ac:dyDescent="0.25">
      <c r="A10" s="15" t="s">
        <v>105</v>
      </c>
      <c r="B10" s="13" t="s">
        <v>106</v>
      </c>
      <c r="C10" s="14">
        <f>C12+C14</f>
        <v>1.5</v>
      </c>
      <c r="D10" s="14">
        <f t="shared" ref="D10:BO11" si="2">D12+D14</f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0.15</v>
      </c>
      <c r="N10" s="14">
        <f t="shared" si="2"/>
        <v>0</v>
      </c>
      <c r="O10" s="14">
        <f t="shared" si="2"/>
        <v>0.15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0.1</v>
      </c>
      <c r="U10" s="14">
        <f t="shared" si="2"/>
        <v>0</v>
      </c>
      <c r="V10" s="14">
        <f t="shared" si="2"/>
        <v>0</v>
      </c>
      <c r="W10" s="14">
        <f t="shared" si="2"/>
        <v>0.1</v>
      </c>
      <c r="X10" s="14">
        <f t="shared" si="2"/>
        <v>0</v>
      </c>
      <c r="Y10" s="14">
        <f t="shared" si="2"/>
        <v>0</v>
      </c>
      <c r="Z10" s="14">
        <f t="shared" si="2"/>
        <v>0</v>
      </c>
      <c r="AA10" s="14">
        <f t="shared" si="2"/>
        <v>0</v>
      </c>
      <c r="AB10" s="14">
        <f t="shared" si="2"/>
        <v>0</v>
      </c>
      <c r="AC10" s="14">
        <f t="shared" si="2"/>
        <v>0</v>
      </c>
      <c r="AD10" s="14">
        <f t="shared" si="2"/>
        <v>0</v>
      </c>
      <c r="AE10" s="14">
        <f t="shared" si="2"/>
        <v>0</v>
      </c>
      <c r="AF10" s="14">
        <f t="shared" si="2"/>
        <v>0</v>
      </c>
      <c r="AG10" s="14">
        <f t="shared" si="2"/>
        <v>0</v>
      </c>
      <c r="AH10" s="14">
        <f t="shared" si="2"/>
        <v>0</v>
      </c>
      <c r="AI10" s="14">
        <f t="shared" si="2"/>
        <v>0</v>
      </c>
      <c r="AJ10" s="14">
        <f t="shared" si="2"/>
        <v>0.15</v>
      </c>
      <c r="AK10" s="14">
        <f t="shared" si="2"/>
        <v>0</v>
      </c>
      <c r="AL10" s="14">
        <f t="shared" si="2"/>
        <v>0</v>
      </c>
      <c r="AM10" s="14">
        <f t="shared" si="2"/>
        <v>0</v>
      </c>
      <c r="AN10" s="14">
        <f t="shared" si="2"/>
        <v>0</v>
      </c>
      <c r="AO10" s="14">
        <f t="shared" si="2"/>
        <v>0</v>
      </c>
      <c r="AP10" s="14">
        <f t="shared" si="2"/>
        <v>0</v>
      </c>
      <c r="AQ10" s="14">
        <f t="shared" si="2"/>
        <v>0</v>
      </c>
      <c r="AR10" s="14">
        <f t="shared" si="2"/>
        <v>0</v>
      </c>
      <c r="AS10" s="14">
        <f t="shared" si="2"/>
        <v>0</v>
      </c>
      <c r="AT10" s="14">
        <f t="shared" si="2"/>
        <v>0.2</v>
      </c>
      <c r="AU10" s="14">
        <f t="shared" si="2"/>
        <v>0</v>
      </c>
      <c r="AV10" s="14">
        <f t="shared" si="2"/>
        <v>0</v>
      </c>
      <c r="AW10" s="14">
        <f t="shared" si="2"/>
        <v>0</v>
      </c>
      <c r="AX10" s="14">
        <f t="shared" si="2"/>
        <v>0</v>
      </c>
      <c r="AY10" s="14">
        <f t="shared" si="2"/>
        <v>0.2</v>
      </c>
      <c r="AZ10" s="14">
        <f t="shared" si="2"/>
        <v>0</v>
      </c>
      <c r="BA10" s="14">
        <f t="shared" si="2"/>
        <v>0</v>
      </c>
      <c r="BB10" s="14">
        <f t="shared" si="2"/>
        <v>0.05</v>
      </c>
      <c r="BC10" s="14">
        <f t="shared" si="2"/>
        <v>0</v>
      </c>
      <c r="BD10" s="14">
        <f t="shared" si="2"/>
        <v>0</v>
      </c>
      <c r="BE10" s="14">
        <f t="shared" si="2"/>
        <v>0</v>
      </c>
      <c r="BF10" s="14">
        <f t="shared" si="2"/>
        <v>0</v>
      </c>
      <c r="BG10" s="14">
        <f t="shared" si="2"/>
        <v>0</v>
      </c>
      <c r="BH10" s="14">
        <f t="shared" si="2"/>
        <v>0.15</v>
      </c>
      <c r="BI10" s="14">
        <f t="shared" si="2"/>
        <v>0</v>
      </c>
      <c r="BJ10" s="14">
        <f t="shared" si="2"/>
        <v>0</v>
      </c>
      <c r="BK10" s="14">
        <f t="shared" si="2"/>
        <v>0</v>
      </c>
      <c r="BL10" s="14">
        <f t="shared" si="2"/>
        <v>0</v>
      </c>
      <c r="BM10" s="14">
        <f t="shared" si="2"/>
        <v>0.15</v>
      </c>
      <c r="BN10" s="14">
        <f t="shared" si="2"/>
        <v>0</v>
      </c>
      <c r="BO10" s="14">
        <f t="shared" si="2"/>
        <v>0</v>
      </c>
      <c r="BP10" s="14">
        <f t="shared" ref="BP10:CW11" si="3">BP12+BP14</f>
        <v>0.1</v>
      </c>
      <c r="BQ10" s="14">
        <f t="shared" si="3"/>
        <v>0</v>
      </c>
      <c r="BR10" s="14">
        <f t="shared" si="3"/>
        <v>0</v>
      </c>
      <c r="BS10" s="14">
        <f t="shared" si="3"/>
        <v>0</v>
      </c>
      <c r="BT10" s="14">
        <f t="shared" si="3"/>
        <v>0</v>
      </c>
      <c r="BU10" s="14">
        <f t="shared" si="3"/>
        <v>0</v>
      </c>
      <c r="BV10" s="14">
        <f t="shared" si="3"/>
        <v>0</v>
      </c>
      <c r="BW10" s="14">
        <f t="shared" si="3"/>
        <v>0</v>
      </c>
      <c r="BX10" s="14">
        <f t="shared" si="3"/>
        <v>0</v>
      </c>
      <c r="BY10" s="14">
        <f t="shared" si="3"/>
        <v>0</v>
      </c>
      <c r="BZ10" s="14">
        <f t="shared" si="3"/>
        <v>0</v>
      </c>
      <c r="CA10" s="14">
        <f t="shared" si="3"/>
        <v>0</v>
      </c>
      <c r="CB10" s="14">
        <f t="shared" si="3"/>
        <v>0</v>
      </c>
      <c r="CC10" s="14">
        <f t="shared" si="3"/>
        <v>0</v>
      </c>
      <c r="CD10" s="14">
        <f t="shared" si="3"/>
        <v>0</v>
      </c>
      <c r="CE10" s="14">
        <f t="shared" si="3"/>
        <v>0</v>
      </c>
      <c r="CF10" s="14">
        <f t="shared" si="3"/>
        <v>0</v>
      </c>
      <c r="CG10" s="14">
        <f t="shared" si="3"/>
        <v>0</v>
      </c>
      <c r="CH10" s="14">
        <f t="shared" si="3"/>
        <v>0</v>
      </c>
      <c r="CI10" s="14">
        <f t="shared" si="3"/>
        <v>0</v>
      </c>
      <c r="CJ10" s="14">
        <f t="shared" si="3"/>
        <v>0</v>
      </c>
      <c r="CK10" s="14">
        <f t="shared" si="3"/>
        <v>0</v>
      </c>
      <c r="CL10" s="14">
        <f t="shared" si="3"/>
        <v>0</v>
      </c>
      <c r="CM10" s="14">
        <f t="shared" si="3"/>
        <v>0</v>
      </c>
      <c r="CN10" s="14">
        <f t="shared" si="3"/>
        <v>0</v>
      </c>
      <c r="CO10" s="14">
        <f t="shared" si="3"/>
        <v>0</v>
      </c>
      <c r="CP10" s="14">
        <f t="shared" si="3"/>
        <v>0</v>
      </c>
      <c r="CQ10" s="14">
        <f t="shared" si="3"/>
        <v>0</v>
      </c>
      <c r="CR10" s="14">
        <f t="shared" si="3"/>
        <v>0</v>
      </c>
      <c r="CS10" s="14">
        <f t="shared" si="3"/>
        <v>0</v>
      </c>
      <c r="CT10" s="14">
        <f t="shared" si="3"/>
        <v>0</v>
      </c>
      <c r="CU10" s="14">
        <f t="shared" si="3"/>
        <v>0</v>
      </c>
      <c r="CV10" s="14">
        <f t="shared" si="3"/>
        <v>0</v>
      </c>
      <c r="CW10" s="14">
        <f t="shared" si="3"/>
        <v>0</v>
      </c>
    </row>
    <row r="11" spans="1:101" x14ac:dyDescent="0.25">
      <c r="A11" s="15"/>
      <c r="B11" s="13" t="s">
        <v>102</v>
      </c>
      <c r="C11" s="16">
        <f>C13+C15</f>
        <v>1490.4399999999998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148.72999999999999</v>
      </c>
      <c r="N11" s="16">
        <f t="shared" si="2"/>
        <v>0</v>
      </c>
      <c r="O11" s="16">
        <f t="shared" si="2"/>
        <v>148.72999999999999</v>
      </c>
      <c r="P11" s="16">
        <f t="shared" si="2"/>
        <v>0</v>
      </c>
      <c r="Q11" s="16">
        <f t="shared" si="2"/>
        <v>0</v>
      </c>
      <c r="R11" s="16">
        <f t="shared" si="2"/>
        <v>0</v>
      </c>
      <c r="S11" s="16">
        <f t="shared" si="2"/>
        <v>0</v>
      </c>
      <c r="T11" s="16">
        <f t="shared" si="2"/>
        <v>99.96</v>
      </c>
      <c r="U11" s="16">
        <f t="shared" si="2"/>
        <v>0</v>
      </c>
      <c r="V11" s="16">
        <f t="shared" si="2"/>
        <v>0</v>
      </c>
      <c r="W11" s="16">
        <f t="shared" si="2"/>
        <v>99.96</v>
      </c>
      <c r="X11" s="16">
        <f t="shared" si="2"/>
        <v>0</v>
      </c>
      <c r="Y11" s="16">
        <f t="shared" si="2"/>
        <v>0</v>
      </c>
      <c r="Z11" s="16">
        <f t="shared" si="2"/>
        <v>0</v>
      </c>
      <c r="AA11" s="16">
        <f t="shared" si="2"/>
        <v>0</v>
      </c>
      <c r="AB11" s="16">
        <f t="shared" si="2"/>
        <v>0</v>
      </c>
      <c r="AC11" s="16">
        <f t="shared" si="2"/>
        <v>0</v>
      </c>
      <c r="AD11" s="16">
        <f t="shared" si="2"/>
        <v>0</v>
      </c>
      <c r="AE11" s="16">
        <f t="shared" si="2"/>
        <v>0</v>
      </c>
      <c r="AF11" s="16">
        <f t="shared" si="2"/>
        <v>0</v>
      </c>
      <c r="AG11" s="16">
        <f t="shared" si="2"/>
        <v>0</v>
      </c>
      <c r="AH11" s="16">
        <f t="shared" si="2"/>
        <v>0</v>
      </c>
      <c r="AI11" s="16">
        <f t="shared" si="2"/>
        <v>0</v>
      </c>
      <c r="AJ11" s="16">
        <f t="shared" si="2"/>
        <v>148.72999999999999</v>
      </c>
      <c r="AK11" s="16">
        <f t="shared" si="2"/>
        <v>0</v>
      </c>
      <c r="AL11" s="16">
        <f t="shared" si="2"/>
        <v>0</v>
      </c>
      <c r="AM11" s="16">
        <f t="shared" si="2"/>
        <v>0</v>
      </c>
      <c r="AN11" s="16">
        <f t="shared" si="2"/>
        <v>0</v>
      </c>
      <c r="AO11" s="16">
        <f t="shared" si="2"/>
        <v>0</v>
      </c>
      <c r="AP11" s="16">
        <f t="shared" si="2"/>
        <v>0</v>
      </c>
      <c r="AQ11" s="16">
        <f t="shared" si="2"/>
        <v>0</v>
      </c>
      <c r="AR11" s="16">
        <f t="shared" si="2"/>
        <v>0</v>
      </c>
      <c r="AS11" s="16">
        <f t="shared" si="2"/>
        <v>0</v>
      </c>
      <c r="AT11" s="16">
        <f t="shared" si="2"/>
        <v>198.3</v>
      </c>
      <c r="AU11" s="16">
        <f t="shared" si="2"/>
        <v>0</v>
      </c>
      <c r="AV11" s="16">
        <f t="shared" si="2"/>
        <v>0</v>
      </c>
      <c r="AW11" s="16">
        <f t="shared" si="2"/>
        <v>0</v>
      </c>
      <c r="AX11" s="16">
        <f t="shared" si="2"/>
        <v>0</v>
      </c>
      <c r="AY11" s="16">
        <f t="shared" si="2"/>
        <v>198.3</v>
      </c>
      <c r="AZ11" s="16">
        <f t="shared" si="2"/>
        <v>0</v>
      </c>
      <c r="BA11" s="16">
        <f t="shared" si="2"/>
        <v>0</v>
      </c>
      <c r="BB11" s="16">
        <f t="shared" si="2"/>
        <v>50.31</v>
      </c>
      <c r="BC11" s="16">
        <f t="shared" si="2"/>
        <v>0</v>
      </c>
      <c r="BD11" s="16">
        <f t="shared" si="2"/>
        <v>0</v>
      </c>
      <c r="BE11" s="16">
        <f t="shared" si="2"/>
        <v>0</v>
      </c>
      <c r="BF11" s="16">
        <f t="shared" si="2"/>
        <v>0</v>
      </c>
      <c r="BG11" s="16">
        <f t="shared" si="2"/>
        <v>0</v>
      </c>
      <c r="BH11" s="16">
        <f t="shared" si="2"/>
        <v>148.72999999999999</v>
      </c>
      <c r="BI11" s="16">
        <f t="shared" si="2"/>
        <v>0</v>
      </c>
      <c r="BJ11" s="16">
        <f t="shared" si="2"/>
        <v>0</v>
      </c>
      <c r="BK11" s="16">
        <f t="shared" si="2"/>
        <v>0</v>
      </c>
      <c r="BL11" s="16">
        <f t="shared" si="2"/>
        <v>0</v>
      </c>
      <c r="BM11" s="16">
        <f t="shared" si="2"/>
        <v>148.72999999999999</v>
      </c>
      <c r="BN11" s="16">
        <f t="shared" si="2"/>
        <v>0</v>
      </c>
      <c r="BO11" s="16">
        <f t="shared" si="2"/>
        <v>0</v>
      </c>
      <c r="BP11" s="16">
        <f t="shared" si="3"/>
        <v>99.96</v>
      </c>
      <c r="BQ11" s="16">
        <f t="shared" si="3"/>
        <v>0</v>
      </c>
      <c r="BR11" s="16">
        <f t="shared" si="3"/>
        <v>0</v>
      </c>
      <c r="BS11" s="16">
        <f t="shared" si="3"/>
        <v>0</v>
      </c>
      <c r="BT11" s="16">
        <f t="shared" si="3"/>
        <v>0</v>
      </c>
      <c r="BU11" s="16">
        <f t="shared" si="3"/>
        <v>0</v>
      </c>
      <c r="BV11" s="16">
        <f t="shared" si="3"/>
        <v>0</v>
      </c>
      <c r="BW11" s="16">
        <f t="shared" si="3"/>
        <v>0</v>
      </c>
      <c r="BX11" s="16">
        <f t="shared" si="3"/>
        <v>0</v>
      </c>
      <c r="BY11" s="16">
        <f t="shared" si="3"/>
        <v>0</v>
      </c>
      <c r="BZ11" s="16">
        <f t="shared" si="3"/>
        <v>0</v>
      </c>
      <c r="CA11" s="16">
        <f t="shared" si="3"/>
        <v>0</v>
      </c>
      <c r="CB11" s="16">
        <f t="shared" si="3"/>
        <v>0</v>
      </c>
      <c r="CC11" s="16">
        <f t="shared" si="3"/>
        <v>0</v>
      </c>
      <c r="CD11" s="16">
        <f t="shared" si="3"/>
        <v>0</v>
      </c>
      <c r="CE11" s="16">
        <f t="shared" si="3"/>
        <v>0</v>
      </c>
      <c r="CF11" s="16">
        <f t="shared" si="3"/>
        <v>0</v>
      </c>
      <c r="CG11" s="16">
        <f t="shared" si="3"/>
        <v>0</v>
      </c>
      <c r="CH11" s="16">
        <f t="shared" si="3"/>
        <v>0</v>
      </c>
      <c r="CI11" s="16">
        <f t="shared" si="3"/>
        <v>0</v>
      </c>
      <c r="CJ11" s="16">
        <f t="shared" si="3"/>
        <v>0</v>
      </c>
      <c r="CK11" s="16">
        <f t="shared" si="3"/>
        <v>0</v>
      </c>
      <c r="CL11" s="16">
        <f t="shared" si="3"/>
        <v>0</v>
      </c>
      <c r="CM11" s="16">
        <f t="shared" si="3"/>
        <v>0</v>
      </c>
      <c r="CN11" s="16">
        <f t="shared" si="3"/>
        <v>0</v>
      </c>
      <c r="CO11" s="16">
        <f t="shared" si="3"/>
        <v>0</v>
      </c>
      <c r="CP11" s="16">
        <f t="shared" si="3"/>
        <v>0</v>
      </c>
      <c r="CQ11" s="16">
        <f t="shared" si="3"/>
        <v>0</v>
      </c>
      <c r="CR11" s="16">
        <f t="shared" si="3"/>
        <v>0</v>
      </c>
      <c r="CS11" s="16">
        <f t="shared" si="3"/>
        <v>0</v>
      </c>
      <c r="CT11" s="16">
        <f t="shared" si="3"/>
        <v>0</v>
      </c>
      <c r="CU11" s="16">
        <f t="shared" si="3"/>
        <v>0</v>
      </c>
      <c r="CV11" s="16">
        <f t="shared" si="3"/>
        <v>0</v>
      </c>
      <c r="CW11" s="16">
        <f t="shared" si="3"/>
        <v>0</v>
      </c>
    </row>
    <row r="12" spans="1:101" hidden="1" x14ac:dyDescent="0.25">
      <c r="A12" s="17" t="s">
        <v>107</v>
      </c>
      <c r="B12" s="18" t="s">
        <v>106</v>
      </c>
      <c r="C12" s="19">
        <f>SUM(D12:CV12)</f>
        <v>0</v>
      </c>
      <c r="D12" s="20"/>
      <c r="E12" s="20"/>
      <c r="F12" s="21"/>
      <c r="G12" s="20"/>
      <c r="H12" s="21"/>
      <c r="I12" s="21"/>
      <c r="J12" s="20"/>
      <c r="K12" s="21"/>
      <c r="L12" s="21"/>
      <c r="M12" s="21"/>
      <c r="N12" s="21"/>
      <c r="O12" s="21"/>
      <c r="P12" s="20"/>
      <c r="Q12" s="21"/>
      <c r="R12" s="21"/>
      <c r="S12" s="21"/>
      <c r="T12" s="2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1"/>
      <c r="AS12" s="22"/>
      <c r="AT12" s="21"/>
      <c r="AU12" s="21"/>
      <c r="AV12" s="20"/>
      <c r="AW12" s="21"/>
      <c r="AX12" s="21"/>
      <c r="AY12" s="21"/>
      <c r="AZ12" s="21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0"/>
      <c r="BM12" s="21"/>
      <c r="BN12" s="20"/>
      <c r="BO12" s="21"/>
      <c r="BP12" s="20"/>
      <c r="BQ12" s="20"/>
      <c r="BR12" s="20"/>
      <c r="BS12" s="21"/>
      <c r="BT12" s="21"/>
      <c r="BU12" s="20"/>
      <c r="BV12" s="20"/>
      <c r="BW12" s="20"/>
      <c r="BX12" s="21"/>
      <c r="BY12" s="21"/>
      <c r="BZ12" s="21"/>
      <c r="CA12" s="21"/>
      <c r="CB12" s="21"/>
      <c r="CC12" s="21"/>
      <c r="CD12" s="20"/>
      <c r="CE12" s="21"/>
      <c r="CF12" s="21"/>
      <c r="CG12" s="21"/>
      <c r="CH12" s="21"/>
      <c r="CI12" s="20"/>
      <c r="CJ12" s="20"/>
      <c r="CK12" s="21"/>
      <c r="CL12" s="21"/>
      <c r="CM12" s="20"/>
      <c r="CN12" s="20"/>
      <c r="CO12" s="20"/>
      <c r="CP12" s="20"/>
      <c r="CQ12" s="20"/>
      <c r="CR12" s="20"/>
      <c r="CS12" s="21"/>
      <c r="CT12" s="21"/>
      <c r="CU12" s="20"/>
      <c r="CV12" s="21"/>
      <c r="CW12" s="21"/>
    </row>
    <row r="13" spans="1:101" hidden="1" x14ac:dyDescent="0.25">
      <c r="A13" s="17"/>
      <c r="B13" s="18" t="s">
        <v>102</v>
      </c>
      <c r="C13" s="19">
        <f>SUM(D13:CV13)</f>
        <v>0</v>
      </c>
      <c r="D13" s="20"/>
      <c r="E13" s="20"/>
      <c r="F13" s="21"/>
      <c r="G13" s="20"/>
      <c r="H13" s="21"/>
      <c r="I13" s="21"/>
      <c r="J13" s="20"/>
      <c r="K13" s="21"/>
      <c r="L13" s="21"/>
      <c r="M13" s="21"/>
      <c r="N13" s="21"/>
      <c r="O13" s="21"/>
      <c r="P13" s="20"/>
      <c r="Q13" s="21"/>
      <c r="R13" s="21"/>
      <c r="S13" s="21"/>
      <c r="T13" s="2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  <c r="AS13" s="23"/>
      <c r="AT13" s="24"/>
      <c r="AU13" s="24"/>
      <c r="AV13" s="23"/>
      <c r="AW13" s="24"/>
      <c r="AX13" s="24"/>
      <c r="AY13" s="24"/>
      <c r="AZ13" s="24"/>
      <c r="BA13" s="23"/>
      <c r="BB13" s="23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/>
      <c r="BP13" s="20"/>
      <c r="BQ13" s="20"/>
      <c r="BR13" s="20"/>
      <c r="BS13" s="21"/>
      <c r="BT13" s="21"/>
      <c r="BU13" s="20"/>
      <c r="BV13" s="20"/>
      <c r="BW13" s="20"/>
      <c r="BX13" s="21"/>
      <c r="BY13" s="21"/>
      <c r="BZ13" s="21"/>
      <c r="CA13" s="21"/>
      <c r="CB13" s="21"/>
      <c r="CC13" s="21"/>
      <c r="CD13" s="25"/>
      <c r="CE13" s="26"/>
      <c r="CF13" s="26"/>
      <c r="CG13" s="26"/>
      <c r="CH13" s="26"/>
      <c r="CI13" s="25"/>
      <c r="CJ13" s="25"/>
      <c r="CK13" s="26"/>
      <c r="CL13" s="26"/>
      <c r="CM13" s="25"/>
      <c r="CN13" s="25"/>
      <c r="CO13" s="25"/>
      <c r="CP13" s="25"/>
      <c r="CQ13" s="25"/>
      <c r="CR13" s="25"/>
      <c r="CS13" s="27"/>
      <c r="CT13" s="27"/>
      <c r="CU13" s="25"/>
      <c r="CV13" s="21"/>
      <c r="CW13" s="21"/>
    </row>
    <row r="14" spans="1:101" x14ac:dyDescent="0.25">
      <c r="A14" s="17" t="s">
        <v>108</v>
      </c>
      <c r="B14" s="18" t="s">
        <v>106</v>
      </c>
      <c r="C14" s="28">
        <f>SUM(D14:CV14)</f>
        <v>1.5</v>
      </c>
      <c r="D14" s="29"/>
      <c r="E14" s="30"/>
      <c r="F14" s="27"/>
      <c r="G14" s="30"/>
      <c r="H14" s="27"/>
      <c r="I14" s="27"/>
      <c r="J14" s="30"/>
      <c r="K14" s="27"/>
      <c r="L14" s="27"/>
      <c r="M14" s="30">
        <v>0.15</v>
      </c>
      <c r="N14" s="27"/>
      <c r="O14" s="30">
        <v>0.15</v>
      </c>
      <c r="P14" s="30"/>
      <c r="Q14" s="27"/>
      <c r="R14" s="27"/>
      <c r="S14" s="27"/>
      <c r="T14" s="21">
        <v>0.1</v>
      </c>
      <c r="U14" s="30"/>
      <c r="V14" s="30"/>
      <c r="W14" s="30">
        <v>0.1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>
        <v>0.15</v>
      </c>
      <c r="AK14" s="30"/>
      <c r="AL14" s="30"/>
      <c r="AM14" s="30"/>
      <c r="AN14" s="30"/>
      <c r="AO14" s="30"/>
      <c r="AP14" s="30"/>
      <c r="AQ14" s="30"/>
      <c r="AR14" s="27"/>
      <c r="AS14" s="24"/>
      <c r="AT14" s="27">
        <f>0.2</f>
        <v>0.2</v>
      </c>
      <c r="AU14" s="24"/>
      <c r="AV14" s="23"/>
      <c r="AW14" s="24"/>
      <c r="AX14" s="24"/>
      <c r="AY14" s="27">
        <v>0.2</v>
      </c>
      <c r="AZ14" s="24"/>
      <c r="BA14" s="23"/>
      <c r="BB14" s="23">
        <v>0.05</v>
      </c>
      <c r="BC14" s="30"/>
      <c r="BD14" s="30"/>
      <c r="BE14" s="30"/>
      <c r="BF14" s="30"/>
      <c r="BG14" s="30"/>
      <c r="BH14" s="30">
        <v>0.15</v>
      </c>
      <c r="BI14" s="30"/>
      <c r="BJ14" s="30"/>
      <c r="BK14" s="30"/>
      <c r="BL14" s="30"/>
      <c r="BM14" s="30">
        <v>0.15</v>
      </c>
      <c r="BN14" s="30"/>
      <c r="BO14" s="21"/>
      <c r="BP14" s="30">
        <v>0.1</v>
      </c>
      <c r="BQ14" s="20"/>
      <c r="BR14" s="20"/>
      <c r="BS14" s="21"/>
      <c r="BT14" s="21"/>
      <c r="BU14" s="20"/>
      <c r="BV14" s="20"/>
      <c r="BW14" s="20"/>
      <c r="BX14" s="21"/>
      <c r="BY14" s="21"/>
      <c r="BZ14" s="21"/>
      <c r="CA14" s="21"/>
      <c r="CB14" s="21"/>
      <c r="CC14" s="21"/>
      <c r="CD14" s="20"/>
      <c r="CE14" s="21"/>
      <c r="CF14" s="21"/>
      <c r="CG14" s="21"/>
      <c r="CH14" s="21"/>
      <c r="CI14" s="20"/>
      <c r="CJ14" s="20"/>
      <c r="CK14" s="21"/>
      <c r="CL14" s="21"/>
      <c r="CM14" s="20"/>
      <c r="CN14" s="20"/>
      <c r="CO14" s="20"/>
      <c r="CP14" s="20"/>
      <c r="CQ14" s="20"/>
      <c r="CR14" s="20"/>
      <c r="CS14" s="21"/>
      <c r="CT14" s="21"/>
      <c r="CU14" s="20"/>
      <c r="CV14" s="21"/>
      <c r="CW14" s="21"/>
    </row>
    <row r="15" spans="1:101" x14ac:dyDescent="0.25">
      <c r="A15" s="17"/>
      <c r="B15" s="18" t="s">
        <v>102</v>
      </c>
      <c r="C15" s="19">
        <f>SUM(D15:CV15)</f>
        <v>1490.4399999999998</v>
      </c>
      <c r="D15" s="23"/>
      <c r="E15" s="23"/>
      <c r="F15" s="23"/>
      <c r="G15" s="23"/>
      <c r="H15" s="23"/>
      <c r="I15" s="23"/>
      <c r="J15" s="23"/>
      <c r="K15" s="23"/>
      <c r="L15" s="23"/>
      <c r="M15" s="23">
        <v>148.72999999999999</v>
      </c>
      <c r="N15" s="23"/>
      <c r="O15" s="23">
        <v>148.72999999999999</v>
      </c>
      <c r="P15" s="23"/>
      <c r="Q15" s="23"/>
      <c r="R15" s="23"/>
      <c r="S15" s="23"/>
      <c r="T15" s="23">
        <v>99.96</v>
      </c>
      <c r="U15" s="23"/>
      <c r="V15" s="23"/>
      <c r="W15" s="23">
        <v>99.96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148.72999999999999</v>
      </c>
      <c r="AK15" s="23"/>
      <c r="AL15" s="23"/>
      <c r="AM15" s="23"/>
      <c r="AN15" s="23"/>
      <c r="AO15" s="23"/>
      <c r="AP15" s="23"/>
      <c r="AQ15" s="23"/>
      <c r="AR15" s="24"/>
      <c r="AS15" s="23"/>
      <c r="AT15" s="23">
        <f>198.3</f>
        <v>198.3</v>
      </c>
      <c r="AU15" s="23"/>
      <c r="AV15" s="23"/>
      <c r="AW15" s="23"/>
      <c r="AX15" s="23"/>
      <c r="AY15" s="23">
        <v>198.3</v>
      </c>
      <c r="AZ15" s="23"/>
      <c r="BA15" s="23"/>
      <c r="BB15" s="23">
        <v>50.31</v>
      </c>
      <c r="BC15" s="23"/>
      <c r="BD15" s="23"/>
      <c r="BE15" s="23"/>
      <c r="BF15" s="23"/>
      <c r="BG15" s="23"/>
      <c r="BH15" s="23">
        <v>148.72999999999999</v>
      </c>
      <c r="BI15" s="23"/>
      <c r="BJ15" s="23"/>
      <c r="BK15" s="23"/>
      <c r="BL15" s="23"/>
      <c r="BM15" s="23">
        <v>148.72999999999999</v>
      </c>
      <c r="BN15" s="23"/>
      <c r="BO15" s="23"/>
      <c r="BP15" s="23">
        <v>99.96</v>
      </c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4"/>
      <c r="CW15" s="24"/>
    </row>
    <row r="16" spans="1:101" ht="25.5" hidden="1" x14ac:dyDescent="0.25">
      <c r="A16" s="31" t="s">
        <v>109</v>
      </c>
      <c r="B16" s="32" t="s">
        <v>102</v>
      </c>
      <c r="C16" s="19">
        <f>SUM(D16:CV16)</f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4"/>
      <c r="CW16" s="24"/>
    </row>
    <row r="17" spans="1:101" ht="31.5" hidden="1" x14ac:dyDescent="0.25">
      <c r="A17" s="33" t="s">
        <v>110</v>
      </c>
      <c r="B17" s="21" t="s">
        <v>111</v>
      </c>
      <c r="C17" s="19">
        <f t="shared" ref="C17:C82" si="4">SUM(D17:CV17)</f>
        <v>0</v>
      </c>
      <c r="D17" s="29"/>
      <c r="E17" s="30"/>
      <c r="F17" s="29"/>
      <c r="G17" s="30"/>
      <c r="H17" s="29"/>
      <c r="I17" s="29"/>
      <c r="J17" s="30"/>
      <c r="K17" s="29"/>
      <c r="L17" s="29"/>
      <c r="M17" s="29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7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20"/>
      <c r="BO17" s="20"/>
      <c r="BP17" s="20"/>
      <c r="BQ17" s="20"/>
      <c r="BR17" s="20"/>
      <c r="BS17" s="20"/>
      <c r="BT17" s="3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/>
      <c r="CW17" s="21"/>
    </row>
    <row r="18" spans="1:101" hidden="1" x14ac:dyDescent="0.25">
      <c r="A18" s="33" t="s">
        <v>112</v>
      </c>
      <c r="B18" s="21" t="s">
        <v>102</v>
      </c>
      <c r="C18" s="19">
        <f t="shared" si="4"/>
        <v>0</v>
      </c>
      <c r="D18" s="29"/>
      <c r="E18" s="30"/>
      <c r="F18" s="29"/>
      <c r="G18" s="30"/>
      <c r="H18" s="29"/>
      <c r="I18" s="29"/>
      <c r="J18" s="30"/>
      <c r="K18" s="29"/>
      <c r="L18" s="29"/>
      <c r="M18" s="29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7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20"/>
      <c r="BO18" s="20"/>
      <c r="BP18" s="20"/>
      <c r="BQ18" s="20"/>
      <c r="BR18" s="20"/>
      <c r="BS18" s="20"/>
      <c r="BT18" s="3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21"/>
    </row>
    <row r="19" spans="1:101" hidden="1" x14ac:dyDescent="0.25">
      <c r="A19" s="34" t="s">
        <v>113</v>
      </c>
      <c r="B19" s="21" t="s">
        <v>114</v>
      </c>
      <c r="C19" s="19">
        <f t="shared" si="4"/>
        <v>0</v>
      </c>
      <c r="D19" s="29"/>
      <c r="E19" s="30"/>
      <c r="F19" s="29"/>
      <c r="G19" s="30"/>
      <c r="H19" s="29"/>
      <c r="I19" s="29"/>
      <c r="J19" s="30"/>
      <c r="K19" s="29"/>
      <c r="L19" s="29"/>
      <c r="M19" s="29"/>
      <c r="N19" s="29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27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20"/>
      <c r="BO19" s="20"/>
      <c r="BP19" s="20"/>
      <c r="BQ19" s="20"/>
      <c r="BR19" s="20"/>
      <c r="BS19" s="20"/>
      <c r="BT19" s="3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/>
      <c r="CW19" s="21"/>
    </row>
    <row r="20" spans="1:101" hidden="1" x14ac:dyDescent="0.25">
      <c r="A20" s="34"/>
      <c r="B20" s="21" t="s">
        <v>102</v>
      </c>
      <c r="C20" s="19">
        <f t="shared" si="4"/>
        <v>0</v>
      </c>
      <c r="D20" s="29"/>
      <c r="E20" s="30"/>
      <c r="F20" s="29"/>
      <c r="G20" s="30"/>
      <c r="H20" s="29"/>
      <c r="I20" s="29"/>
      <c r="J20" s="30"/>
      <c r="K20" s="29"/>
      <c r="L20" s="29"/>
      <c r="M20" s="29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27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20"/>
      <c r="BO20" s="20"/>
      <c r="BP20" s="20"/>
      <c r="BQ20" s="20"/>
      <c r="BR20" s="20"/>
      <c r="BS20" s="20"/>
      <c r="BT20" s="3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1"/>
      <c r="CW20" s="21"/>
    </row>
    <row r="21" spans="1:101" ht="25.5" hidden="1" x14ac:dyDescent="0.25">
      <c r="A21" s="34" t="s">
        <v>115</v>
      </c>
      <c r="B21" s="21" t="s">
        <v>116</v>
      </c>
      <c r="C21" s="19">
        <f t="shared" si="4"/>
        <v>0</v>
      </c>
      <c r="D21" s="29"/>
      <c r="E21" s="30"/>
      <c r="F21" s="29"/>
      <c r="G21" s="30"/>
      <c r="H21" s="29"/>
      <c r="I21" s="29"/>
      <c r="J21" s="30"/>
      <c r="K21" s="29"/>
      <c r="L21" s="29"/>
      <c r="M21" s="29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27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20"/>
      <c r="BO21" s="20"/>
      <c r="BP21" s="20"/>
      <c r="BQ21" s="20"/>
      <c r="BR21" s="20"/>
      <c r="BS21" s="20"/>
      <c r="BT21" s="3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/>
      <c r="CW21" s="21"/>
    </row>
    <row r="22" spans="1:101" hidden="1" x14ac:dyDescent="0.25">
      <c r="A22" s="34" t="s">
        <v>117</v>
      </c>
      <c r="B22" s="21" t="s">
        <v>102</v>
      </c>
      <c r="C22" s="19">
        <f t="shared" si="4"/>
        <v>0</v>
      </c>
      <c r="D22" s="29"/>
      <c r="E22" s="30"/>
      <c r="F22" s="29"/>
      <c r="G22" s="30"/>
      <c r="H22" s="29"/>
      <c r="I22" s="29"/>
      <c r="J22" s="30"/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27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20"/>
      <c r="BO22" s="20"/>
      <c r="BP22" s="20"/>
      <c r="BQ22" s="20"/>
      <c r="BR22" s="20"/>
      <c r="BS22" s="20"/>
      <c r="BT22" s="3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1"/>
      <c r="CW22" s="21"/>
    </row>
    <row r="23" spans="1:101" ht="25.5" hidden="1" x14ac:dyDescent="0.25">
      <c r="A23" s="34" t="s">
        <v>118</v>
      </c>
      <c r="B23" s="21" t="s">
        <v>116</v>
      </c>
      <c r="C23" s="19">
        <f t="shared" si="4"/>
        <v>0</v>
      </c>
      <c r="D23" s="29"/>
      <c r="E23" s="30"/>
      <c r="F23" s="29"/>
      <c r="G23" s="30"/>
      <c r="H23" s="29"/>
      <c r="I23" s="29"/>
      <c r="J23" s="30"/>
      <c r="K23" s="29"/>
      <c r="L23" s="29"/>
      <c r="M23" s="29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2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20"/>
      <c r="BO23" s="20"/>
      <c r="BP23" s="20"/>
      <c r="BQ23" s="20"/>
      <c r="BR23" s="20"/>
      <c r="BS23" s="20"/>
      <c r="BT23" s="3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/>
      <c r="CW23" s="21"/>
    </row>
    <row r="24" spans="1:101" hidden="1" x14ac:dyDescent="0.25">
      <c r="A24" s="34" t="s">
        <v>119</v>
      </c>
      <c r="B24" s="21" t="s">
        <v>102</v>
      </c>
      <c r="C24" s="19">
        <f t="shared" si="4"/>
        <v>0</v>
      </c>
      <c r="D24" s="29"/>
      <c r="E24" s="30"/>
      <c r="F24" s="29"/>
      <c r="G24" s="30"/>
      <c r="H24" s="29"/>
      <c r="I24" s="29"/>
      <c r="J24" s="30"/>
      <c r="K24" s="29"/>
      <c r="L24" s="29"/>
      <c r="M24" s="29"/>
      <c r="N24" s="2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2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20"/>
      <c r="BO24" s="20"/>
      <c r="BP24" s="20"/>
      <c r="BQ24" s="20"/>
      <c r="BR24" s="20"/>
      <c r="BS24" s="20"/>
      <c r="BT24" s="3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1"/>
      <c r="CW24" s="21"/>
    </row>
    <row r="25" spans="1:101" hidden="1" x14ac:dyDescent="0.25">
      <c r="A25" s="34" t="s">
        <v>120</v>
      </c>
      <c r="B25" s="21" t="s">
        <v>121</v>
      </c>
      <c r="C25" s="19">
        <f t="shared" si="4"/>
        <v>0</v>
      </c>
      <c r="D25" s="29"/>
      <c r="E25" s="30"/>
      <c r="F25" s="29"/>
      <c r="G25" s="30"/>
      <c r="H25" s="29"/>
      <c r="I25" s="29"/>
      <c r="J25" s="30"/>
      <c r="K25" s="29"/>
      <c r="L25" s="29"/>
      <c r="M25" s="29"/>
      <c r="N25" s="29"/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27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20"/>
      <c r="BO25" s="20"/>
      <c r="BP25" s="20"/>
      <c r="BQ25" s="20"/>
      <c r="BR25" s="20"/>
      <c r="BS25" s="20"/>
      <c r="BT25" s="3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/>
      <c r="CW25" s="21"/>
    </row>
    <row r="26" spans="1:101" hidden="1" x14ac:dyDescent="0.25">
      <c r="A26" s="34"/>
      <c r="B26" s="21" t="s">
        <v>102</v>
      </c>
      <c r="C26" s="19">
        <f t="shared" si="4"/>
        <v>0</v>
      </c>
      <c r="D26" s="29"/>
      <c r="E26" s="30"/>
      <c r="F26" s="29"/>
      <c r="G26" s="30"/>
      <c r="H26" s="29"/>
      <c r="I26" s="29"/>
      <c r="J26" s="30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27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20"/>
      <c r="BO26" s="20"/>
      <c r="BP26" s="20"/>
      <c r="BQ26" s="20"/>
      <c r="BR26" s="20"/>
      <c r="BS26" s="20"/>
      <c r="BT26" s="3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/>
      <c r="CW26" s="21"/>
    </row>
    <row r="27" spans="1:101" ht="25.5" hidden="1" x14ac:dyDescent="0.25">
      <c r="A27" s="34" t="s">
        <v>122</v>
      </c>
      <c r="B27" s="21" t="s">
        <v>102</v>
      </c>
      <c r="C27" s="19">
        <f t="shared" si="4"/>
        <v>0</v>
      </c>
      <c r="D27" s="29"/>
      <c r="E27" s="30"/>
      <c r="F27" s="29"/>
      <c r="G27" s="30"/>
      <c r="H27" s="29"/>
      <c r="I27" s="29"/>
      <c r="J27" s="30"/>
      <c r="K27" s="29"/>
      <c r="L27" s="29"/>
      <c r="M27" s="29"/>
      <c r="N27" s="29"/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27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20"/>
      <c r="BO27" s="20"/>
      <c r="BP27" s="20"/>
      <c r="BQ27" s="20"/>
      <c r="BR27" s="20"/>
      <c r="BS27" s="20"/>
      <c r="BT27" s="3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21"/>
    </row>
    <row r="28" spans="1:101" x14ac:dyDescent="0.25">
      <c r="A28" s="120" t="s">
        <v>123</v>
      </c>
      <c r="B28" s="35" t="s">
        <v>104</v>
      </c>
      <c r="C28" s="36">
        <f>SUM(D28:CV28)</f>
        <v>38</v>
      </c>
      <c r="D28" s="37"/>
      <c r="E28" s="38"/>
      <c r="F28" s="37"/>
      <c r="G28" s="38">
        <v>1</v>
      </c>
      <c r="H28" s="37"/>
      <c r="I28" s="37">
        <v>1</v>
      </c>
      <c r="J28" s="38">
        <v>1</v>
      </c>
      <c r="K28" s="37">
        <v>1</v>
      </c>
      <c r="L28" s="37"/>
      <c r="M28" s="37"/>
      <c r="N28" s="37">
        <v>1</v>
      </c>
      <c r="O28" s="37">
        <v>1</v>
      </c>
      <c r="P28" s="38"/>
      <c r="Q28" s="38"/>
      <c r="R28" s="38"/>
      <c r="S28" s="38"/>
      <c r="T28" s="38"/>
      <c r="U28" s="38">
        <v>1</v>
      </c>
      <c r="V28" s="38"/>
      <c r="W28" s="38"/>
      <c r="X28" s="38"/>
      <c r="Y28" s="38"/>
      <c r="Z28" s="38"/>
      <c r="AA28" s="38"/>
      <c r="AB28" s="38"/>
      <c r="AC28" s="38"/>
      <c r="AD28" s="38">
        <v>1</v>
      </c>
      <c r="AE28" s="38">
        <v>1</v>
      </c>
      <c r="AF28" s="38"/>
      <c r="AG28" s="38"/>
      <c r="AH28" s="38">
        <v>1</v>
      </c>
      <c r="AI28" s="38">
        <v>1</v>
      </c>
      <c r="AJ28" s="38">
        <v>1</v>
      </c>
      <c r="AK28" s="38"/>
      <c r="AL28" s="38"/>
      <c r="AM28" s="38"/>
      <c r="AN28" s="38"/>
      <c r="AO28" s="38">
        <v>1</v>
      </c>
      <c r="AP28" s="38">
        <v>1</v>
      </c>
      <c r="AQ28" s="38">
        <v>1</v>
      </c>
      <c r="AR28" s="39">
        <v>1</v>
      </c>
      <c r="AS28" s="38">
        <v>1</v>
      </c>
      <c r="AT28" s="38">
        <v>1</v>
      </c>
      <c r="AU28" s="38">
        <v>1</v>
      </c>
      <c r="AV28" s="38">
        <v>1</v>
      </c>
      <c r="AW28" s="38">
        <v>1</v>
      </c>
      <c r="AX28" s="38">
        <v>1</v>
      </c>
      <c r="AY28" s="38">
        <v>1</v>
      </c>
      <c r="AZ28" s="38"/>
      <c r="BA28" s="38"/>
      <c r="BB28" s="38"/>
      <c r="BC28" s="38"/>
      <c r="BD28" s="38">
        <v>1</v>
      </c>
      <c r="BE28" s="38"/>
      <c r="BF28" s="38"/>
      <c r="BG28" s="38"/>
      <c r="BH28" s="38"/>
      <c r="BI28" s="38"/>
      <c r="BJ28" s="38">
        <v>1</v>
      </c>
      <c r="BK28" s="38"/>
      <c r="BL28" s="38"/>
      <c r="BM28" s="38">
        <v>1</v>
      </c>
      <c r="BN28" s="38"/>
      <c r="BO28" s="38">
        <v>1</v>
      </c>
      <c r="BP28" s="38">
        <v>1</v>
      </c>
      <c r="BQ28" s="38">
        <v>1</v>
      </c>
      <c r="BR28" s="38"/>
      <c r="BS28" s="38"/>
      <c r="BT28" s="38">
        <v>1</v>
      </c>
      <c r="BU28" s="38">
        <v>1</v>
      </c>
      <c r="BV28" s="38"/>
      <c r="BW28" s="38"/>
      <c r="BX28" s="38"/>
      <c r="BY28" s="38">
        <v>1</v>
      </c>
      <c r="BZ28" s="38">
        <v>1</v>
      </c>
      <c r="CA28" s="38"/>
      <c r="CB28" s="38">
        <v>1</v>
      </c>
      <c r="CC28" s="38">
        <v>1</v>
      </c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>
        <v>1</v>
      </c>
      <c r="CP28" s="38">
        <v>1</v>
      </c>
      <c r="CQ28" s="38">
        <v>1</v>
      </c>
      <c r="CR28" s="38"/>
      <c r="CS28" s="38"/>
      <c r="CT28" s="38"/>
      <c r="CU28" s="38"/>
      <c r="CV28" s="39"/>
      <c r="CW28" s="39"/>
    </row>
    <row r="29" spans="1:101" x14ac:dyDescent="0.25">
      <c r="A29" s="120"/>
      <c r="B29" s="32" t="s">
        <v>102</v>
      </c>
      <c r="C29" s="19">
        <f>C31+C34+C45+C47+C49</f>
        <v>7198.3600000000015</v>
      </c>
      <c r="D29" s="19">
        <f t="shared" ref="D29:BO29" si="5">D31+D34+D45+D47+D49</f>
        <v>0</v>
      </c>
      <c r="E29" s="19">
        <f t="shared" si="5"/>
        <v>0</v>
      </c>
      <c r="F29" s="19">
        <f t="shared" si="5"/>
        <v>0</v>
      </c>
      <c r="G29" s="19">
        <f t="shared" si="5"/>
        <v>387.77</v>
      </c>
      <c r="H29" s="19">
        <f t="shared" si="5"/>
        <v>0</v>
      </c>
      <c r="I29" s="19">
        <f t="shared" si="5"/>
        <v>410.22999999999996</v>
      </c>
      <c r="J29" s="19">
        <f t="shared" si="5"/>
        <v>21.76</v>
      </c>
      <c r="K29" s="19">
        <f t="shared" si="5"/>
        <v>24.91</v>
      </c>
      <c r="L29" s="19">
        <f t="shared" si="5"/>
        <v>0</v>
      </c>
      <c r="M29" s="19">
        <f t="shared" si="5"/>
        <v>0</v>
      </c>
      <c r="N29" s="19">
        <f t="shared" si="5"/>
        <v>777.87</v>
      </c>
      <c r="O29" s="19">
        <f t="shared" si="5"/>
        <v>1074.78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15.6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209.9</v>
      </c>
      <c r="AE29" s="19">
        <f t="shared" si="5"/>
        <v>136.49</v>
      </c>
      <c r="AF29" s="19">
        <f t="shared" si="5"/>
        <v>0</v>
      </c>
      <c r="AG29" s="19">
        <f t="shared" si="5"/>
        <v>0</v>
      </c>
      <c r="AH29" s="19">
        <f t="shared" si="5"/>
        <v>321.14999999999998</v>
      </c>
      <c r="AI29" s="19">
        <f t="shared" si="5"/>
        <v>10.46</v>
      </c>
      <c r="AJ29" s="19">
        <f t="shared" si="5"/>
        <v>39.35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</v>
      </c>
      <c r="AO29" s="19">
        <f t="shared" si="5"/>
        <v>267.73</v>
      </c>
      <c r="AP29" s="19">
        <f t="shared" si="5"/>
        <v>334.54</v>
      </c>
      <c r="AQ29" s="19">
        <f t="shared" si="5"/>
        <v>4.99</v>
      </c>
      <c r="AR29" s="19">
        <f t="shared" si="5"/>
        <v>51.84</v>
      </c>
      <c r="AS29" s="19">
        <f>AS31+AS34+AS45+AS47+AS49</f>
        <v>37.959999999999994</v>
      </c>
      <c r="AT29" s="19">
        <f t="shared" si="5"/>
        <v>28.7</v>
      </c>
      <c r="AU29" s="19">
        <f t="shared" si="5"/>
        <v>756.55</v>
      </c>
      <c r="AV29" s="19">
        <f t="shared" si="5"/>
        <v>183.85</v>
      </c>
      <c r="AW29" s="19">
        <f t="shared" si="5"/>
        <v>32.799999999999997</v>
      </c>
      <c r="AX29" s="19">
        <f t="shared" si="5"/>
        <v>32.799999999999997</v>
      </c>
      <c r="AY29" s="19">
        <f t="shared" si="5"/>
        <v>14.370000000000001</v>
      </c>
      <c r="AZ29" s="19">
        <f t="shared" si="5"/>
        <v>0</v>
      </c>
      <c r="BA29" s="19">
        <f t="shared" si="5"/>
        <v>0</v>
      </c>
      <c r="BB29" s="19">
        <f t="shared" si="5"/>
        <v>0</v>
      </c>
      <c r="BC29" s="19">
        <f t="shared" si="5"/>
        <v>0</v>
      </c>
      <c r="BD29" s="19">
        <f t="shared" si="5"/>
        <v>34.32</v>
      </c>
      <c r="BE29" s="19">
        <f t="shared" si="5"/>
        <v>0</v>
      </c>
      <c r="BF29" s="19">
        <f t="shared" si="5"/>
        <v>0</v>
      </c>
      <c r="BG29" s="19">
        <f t="shared" si="5"/>
        <v>0</v>
      </c>
      <c r="BH29" s="19">
        <f t="shared" si="5"/>
        <v>0</v>
      </c>
      <c r="BI29" s="19">
        <f t="shared" si="5"/>
        <v>0</v>
      </c>
      <c r="BJ29" s="19">
        <f t="shared" si="5"/>
        <v>28.24</v>
      </c>
      <c r="BK29" s="19">
        <f t="shared" si="5"/>
        <v>0</v>
      </c>
      <c r="BL29" s="19">
        <f t="shared" si="5"/>
        <v>0</v>
      </c>
      <c r="BM29" s="19">
        <f t="shared" si="5"/>
        <v>238.69</v>
      </c>
      <c r="BN29" s="19">
        <f t="shared" si="5"/>
        <v>0</v>
      </c>
      <c r="BO29" s="19">
        <f t="shared" si="5"/>
        <v>30.799999999999997</v>
      </c>
      <c r="BP29" s="19">
        <f t="shared" ref="BP29:CW29" si="6">BP31+BP34+BP45+BP47+BP49</f>
        <v>329.54</v>
      </c>
      <c r="BQ29" s="19">
        <f t="shared" si="6"/>
        <v>19.62</v>
      </c>
      <c r="BR29" s="19">
        <f t="shared" si="6"/>
        <v>0</v>
      </c>
      <c r="BS29" s="19">
        <f t="shared" si="6"/>
        <v>0</v>
      </c>
      <c r="BT29" s="19">
        <f t="shared" si="6"/>
        <v>49.86</v>
      </c>
      <c r="BU29" s="19">
        <f t="shared" si="6"/>
        <v>5.33</v>
      </c>
      <c r="BV29" s="19">
        <f t="shared" si="6"/>
        <v>0</v>
      </c>
      <c r="BW29" s="19">
        <f t="shared" si="6"/>
        <v>0</v>
      </c>
      <c r="BX29" s="19">
        <f t="shared" si="6"/>
        <v>0</v>
      </c>
      <c r="BY29" s="19">
        <f t="shared" si="6"/>
        <v>338.56</v>
      </c>
      <c r="BZ29" s="19">
        <f t="shared" si="6"/>
        <v>50.37</v>
      </c>
      <c r="CA29" s="19">
        <f t="shared" si="6"/>
        <v>0</v>
      </c>
      <c r="CB29" s="19">
        <f t="shared" si="6"/>
        <v>8.31</v>
      </c>
      <c r="CC29" s="19">
        <f t="shared" si="6"/>
        <v>815.3</v>
      </c>
      <c r="CD29" s="19">
        <f t="shared" si="6"/>
        <v>0</v>
      </c>
      <c r="CE29" s="19">
        <f t="shared" si="6"/>
        <v>0</v>
      </c>
      <c r="CF29" s="19">
        <f t="shared" si="6"/>
        <v>0</v>
      </c>
      <c r="CG29" s="19">
        <f t="shared" si="6"/>
        <v>0</v>
      </c>
      <c r="CH29" s="19">
        <f t="shared" si="6"/>
        <v>0</v>
      </c>
      <c r="CI29" s="19">
        <f t="shared" si="6"/>
        <v>0</v>
      </c>
      <c r="CJ29" s="19">
        <f t="shared" si="6"/>
        <v>0</v>
      </c>
      <c r="CK29" s="19">
        <f t="shared" si="6"/>
        <v>0</v>
      </c>
      <c r="CL29" s="19">
        <f t="shared" si="6"/>
        <v>0</v>
      </c>
      <c r="CM29" s="19">
        <f t="shared" si="6"/>
        <v>0</v>
      </c>
      <c r="CN29" s="19">
        <f t="shared" si="6"/>
        <v>0</v>
      </c>
      <c r="CO29" s="19">
        <f t="shared" si="6"/>
        <v>32.9</v>
      </c>
      <c r="CP29" s="19">
        <f t="shared" si="6"/>
        <v>20.059999999999999</v>
      </c>
      <c r="CQ29" s="19">
        <f t="shared" si="6"/>
        <v>20.059999999999999</v>
      </c>
      <c r="CR29" s="19">
        <f t="shared" si="6"/>
        <v>0</v>
      </c>
      <c r="CS29" s="19">
        <f t="shared" si="6"/>
        <v>0</v>
      </c>
      <c r="CT29" s="19">
        <f t="shared" si="6"/>
        <v>0</v>
      </c>
      <c r="CU29" s="19">
        <f t="shared" si="6"/>
        <v>0</v>
      </c>
      <c r="CV29" s="19">
        <f t="shared" si="6"/>
        <v>0</v>
      </c>
      <c r="CW29" s="19">
        <f t="shared" si="6"/>
        <v>0</v>
      </c>
    </row>
    <row r="30" spans="1:101" x14ac:dyDescent="0.25">
      <c r="A30" s="121" t="s">
        <v>124</v>
      </c>
      <c r="B30" s="32" t="s">
        <v>106</v>
      </c>
      <c r="C30" s="28">
        <f>SUM(D30:CV30)</f>
        <v>3.0836999999999999</v>
      </c>
      <c r="D30" s="29"/>
      <c r="E30" s="30"/>
      <c r="F30" s="29"/>
      <c r="G30" s="30">
        <v>0.23300000000000001</v>
      </c>
      <c r="H30" s="29"/>
      <c r="I30" s="29">
        <v>0.23300000000000001</v>
      </c>
      <c r="J30" s="30"/>
      <c r="K30" s="30">
        <v>1.4E-2</v>
      </c>
      <c r="L30" s="30"/>
      <c r="M30" s="29"/>
      <c r="N30" s="29">
        <v>0.46800000000000003</v>
      </c>
      <c r="O30" s="29">
        <v>0.61419999999999997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>
        <v>0.09</v>
      </c>
      <c r="AE30" s="20">
        <v>3.2399999999999998E-2</v>
      </c>
      <c r="AF30" s="30"/>
      <c r="AG30" s="30"/>
      <c r="AH30" s="30">
        <v>0.193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27">
        <v>3.1E-2</v>
      </c>
      <c r="AS30" s="30"/>
      <c r="AT30" s="30">
        <v>7.0000000000000001E-3</v>
      </c>
      <c r="AU30" s="30">
        <v>0.44600000000000001</v>
      </c>
      <c r="AV30" s="30">
        <v>4.7E-2</v>
      </c>
      <c r="AW30" s="30"/>
      <c r="AX30" s="30"/>
      <c r="AY30" s="30">
        <v>7.0000000000000001E-3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>
        <v>1.7000000000000001E-2</v>
      </c>
      <c r="BK30" s="30"/>
      <c r="BL30" s="30"/>
      <c r="BM30" s="30">
        <v>0.126</v>
      </c>
      <c r="BN30" s="20"/>
      <c r="BO30" s="20">
        <v>1.6E-2</v>
      </c>
      <c r="BP30" s="40">
        <v>6.0000000000000001E-3</v>
      </c>
      <c r="BQ30" s="20"/>
      <c r="BR30" s="20"/>
      <c r="BS30" s="20"/>
      <c r="BT30" s="30">
        <v>0.02</v>
      </c>
      <c r="BU30" s="20"/>
      <c r="BV30" s="20"/>
      <c r="BW30" s="20"/>
      <c r="BX30" s="20"/>
      <c r="BY30" s="20"/>
      <c r="BZ30" s="20">
        <v>1E-3</v>
      </c>
      <c r="CA30" s="20"/>
      <c r="CB30" s="20">
        <v>5.0000000000000001E-3</v>
      </c>
      <c r="CC30" s="20">
        <v>0.10009999999999999</v>
      </c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>
        <v>0.16900000000000001</v>
      </c>
      <c r="CP30" s="20">
        <v>0.104</v>
      </c>
      <c r="CQ30" s="20">
        <v>0.104</v>
      </c>
      <c r="CR30" s="20"/>
      <c r="CS30" s="20"/>
      <c r="CT30" s="20"/>
      <c r="CU30" s="20"/>
      <c r="CV30" s="21"/>
      <c r="CW30" s="21"/>
    </row>
    <row r="31" spans="1:101" ht="15.75" customHeight="1" x14ac:dyDescent="0.25">
      <c r="A31" s="121"/>
      <c r="B31" s="32" t="s">
        <v>102</v>
      </c>
      <c r="C31" s="19">
        <f>SUM(D31:CV31)</f>
        <v>5388.9600000000019</v>
      </c>
      <c r="D31" s="41"/>
      <c r="E31" s="23"/>
      <c r="F31" s="41"/>
      <c r="G31" s="23">
        <v>387.77</v>
      </c>
      <c r="H31" s="41"/>
      <c r="I31" s="41">
        <v>387.77</v>
      </c>
      <c r="J31" s="23"/>
      <c r="K31" s="23">
        <v>23.92</v>
      </c>
      <c r="L31" s="23"/>
      <c r="M31" s="41"/>
      <c r="N31" s="41">
        <v>777.87</v>
      </c>
      <c r="O31" s="41">
        <v>1020.43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149.53</v>
      </c>
      <c r="AE31" s="20">
        <v>113.95</v>
      </c>
      <c r="AF31" s="23"/>
      <c r="AG31" s="23"/>
      <c r="AH31" s="23">
        <v>321.14999999999998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4">
        <v>51.84</v>
      </c>
      <c r="AS31" s="23"/>
      <c r="AT31" s="23">
        <v>12.3</v>
      </c>
      <c r="AU31" s="23">
        <v>740.15</v>
      </c>
      <c r="AV31" s="23">
        <v>183.85</v>
      </c>
      <c r="AW31" s="23"/>
      <c r="AX31" s="23"/>
      <c r="AY31" s="23">
        <v>11.96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28.24</v>
      </c>
      <c r="BK31" s="23"/>
      <c r="BL31" s="23"/>
      <c r="BM31" s="23">
        <v>209.83</v>
      </c>
      <c r="BN31" s="23"/>
      <c r="BO31" s="23">
        <v>26.58</v>
      </c>
      <c r="BP31" s="40">
        <v>9.9700000000000006</v>
      </c>
      <c r="BQ31" s="23"/>
      <c r="BR31" s="23"/>
      <c r="BS31" s="23"/>
      <c r="BT31" s="23">
        <v>33.56</v>
      </c>
      <c r="BU31" s="23"/>
      <c r="BV31" s="23"/>
      <c r="BW31" s="23"/>
      <c r="BX31" s="23"/>
      <c r="BY31" s="23"/>
      <c r="BZ31" s="23">
        <v>1.66</v>
      </c>
      <c r="CA31" s="23"/>
      <c r="CB31" s="23">
        <v>8.31</v>
      </c>
      <c r="CC31" s="20">
        <v>815.3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>
        <v>32.9</v>
      </c>
      <c r="CP31" s="23">
        <v>20.059999999999999</v>
      </c>
      <c r="CQ31" s="23">
        <v>20.059999999999999</v>
      </c>
      <c r="CR31" s="23"/>
      <c r="CS31" s="23"/>
      <c r="CT31" s="23"/>
      <c r="CU31" s="23"/>
      <c r="CV31" s="24"/>
      <c r="CW31" s="24"/>
    </row>
    <row r="32" spans="1:101" ht="15.75" hidden="1" customHeight="1" x14ac:dyDescent="0.25">
      <c r="A32" s="122" t="s">
        <v>125</v>
      </c>
      <c r="B32" s="3" t="s">
        <v>126</v>
      </c>
      <c r="C32" s="36">
        <f>C35+C38+C41</f>
        <v>0</v>
      </c>
      <c r="D32" s="36">
        <f t="shared" ref="D32:BO34" si="7">D35+D38+D41</f>
        <v>0</v>
      </c>
      <c r="E32" s="36">
        <f t="shared" si="7"/>
        <v>0</v>
      </c>
      <c r="F32" s="36">
        <f t="shared" si="7"/>
        <v>0</v>
      </c>
      <c r="G32" s="36">
        <f t="shared" si="7"/>
        <v>0</v>
      </c>
      <c r="H32" s="36">
        <f t="shared" si="7"/>
        <v>0</v>
      </c>
      <c r="I32" s="36">
        <f t="shared" si="7"/>
        <v>0</v>
      </c>
      <c r="J32" s="36">
        <f t="shared" si="7"/>
        <v>0</v>
      </c>
      <c r="K32" s="36">
        <f t="shared" si="7"/>
        <v>0</v>
      </c>
      <c r="L32" s="36">
        <f t="shared" si="7"/>
        <v>0</v>
      </c>
      <c r="M32" s="36">
        <f t="shared" si="7"/>
        <v>0</v>
      </c>
      <c r="N32" s="36">
        <f t="shared" si="7"/>
        <v>0</v>
      </c>
      <c r="O32" s="36">
        <f t="shared" si="7"/>
        <v>0</v>
      </c>
      <c r="P32" s="36">
        <f t="shared" si="7"/>
        <v>0</v>
      </c>
      <c r="Q32" s="36">
        <f t="shared" si="7"/>
        <v>0</v>
      </c>
      <c r="R32" s="36">
        <f t="shared" si="7"/>
        <v>0</v>
      </c>
      <c r="S32" s="36">
        <f t="shared" si="7"/>
        <v>0</v>
      </c>
      <c r="T32" s="36">
        <f t="shared" si="7"/>
        <v>0</v>
      </c>
      <c r="U32" s="36">
        <f t="shared" si="7"/>
        <v>0</v>
      </c>
      <c r="V32" s="36">
        <f t="shared" si="7"/>
        <v>0</v>
      </c>
      <c r="W32" s="36">
        <f t="shared" si="7"/>
        <v>0</v>
      </c>
      <c r="X32" s="36">
        <f t="shared" si="7"/>
        <v>0</v>
      </c>
      <c r="Y32" s="36">
        <f t="shared" si="7"/>
        <v>0</v>
      </c>
      <c r="Z32" s="36">
        <f t="shared" si="7"/>
        <v>0</v>
      </c>
      <c r="AA32" s="36">
        <f t="shared" si="7"/>
        <v>0</v>
      </c>
      <c r="AB32" s="36">
        <f t="shared" si="7"/>
        <v>0</v>
      </c>
      <c r="AC32" s="36">
        <f t="shared" si="7"/>
        <v>0</v>
      </c>
      <c r="AD32" s="36">
        <f t="shared" si="7"/>
        <v>0</v>
      </c>
      <c r="AE32" s="36">
        <f t="shared" si="7"/>
        <v>0</v>
      </c>
      <c r="AF32" s="36">
        <f t="shared" si="7"/>
        <v>0</v>
      </c>
      <c r="AG32" s="36">
        <f t="shared" si="7"/>
        <v>0</v>
      </c>
      <c r="AH32" s="36">
        <f t="shared" si="7"/>
        <v>0</v>
      </c>
      <c r="AI32" s="36">
        <f t="shared" si="7"/>
        <v>0</v>
      </c>
      <c r="AJ32" s="36">
        <f t="shared" si="7"/>
        <v>0</v>
      </c>
      <c r="AK32" s="36">
        <f t="shared" si="7"/>
        <v>0</v>
      </c>
      <c r="AL32" s="36">
        <f t="shared" si="7"/>
        <v>0</v>
      </c>
      <c r="AM32" s="36">
        <f t="shared" si="7"/>
        <v>0</v>
      </c>
      <c r="AN32" s="36">
        <f t="shared" si="7"/>
        <v>0</v>
      </c>
      <c r="AO32" s="36">
        <f t="shared" si="7"/>
        <v>0</v>
      </c>
      <c r="AP32" s="36">
        <f t="shared" si="7"/>
        <v>0</v>
      </c>
      <c r="AQ32" s="36">
        <f t="shared" si="7"/>
        <v>0</v>
      </c>
      <c r="AR32" s="36">
        <f t="shared" si="7"/>
        <v>0</v>
      </c>
      <c r="AS32" s="36">
        <f t="shared" si="7"/>
        <v>0</v>
      </c>
      <c r="AT32" s="36">
        <f t="shared" si="7"/>
        <v>0</v>
      </c>
      <c r="AU32" s="36">
        <f t="shared" si="7"/>
        <v>0</v>
      </c>
      <c r="AV32" s="36">
        <f t="shared" si="7"/>
        <v>0</v>
      </c>
      <c r="AW32" s="36">
        <f t="shared" si="7"/>
        <v>0</v>
      </c>
      <c r="AX32" s="36">
        <f t="shared" si="7"/>
        <v>0</v>
      </c>
      <c r="AY32" s="36">
        <f t="shared" si="7"/>
        <v>0</v>
      </c>
      <c r="AZ32" s="36">
        <f t="shared" si="7"/>
        <v>0</v>
      </c>
      <c r="BA32" s="36">
        <f t="shared" si="7"/>
        <v>0</v>
      </c>
      <c r="BB32" s="36">
        <f t="shared" si="7"/>
        <v>0</v>
      </c>
      <c r="BC32" s="36">
        <f t="shared" si="7"/>
        <v>0</v>
      </c>
      <c r="BD32" s="36">
        <f t="shared" si="7"/>
        <v>0</v>
      </c>
      <c r="BE32" s="36">
        <f t="shared" si="7"/>
        <v>0</v>
      </c>
      <c r="BF32" s="36">
        <f t="shared" si="7"/>
        <v>0</v>
      </c>
      <c r="BG32" s="36">
        <f t="shared" si="7"/>
        <v>0</v>
      </c>
      <c r="BH32" s="36">
        <f t="shared" si="7"/>
        <v>0</v>
      </c>
      <c r="BI32" s="36">
        <f t="shared" si="7"/>
        <v>0</v>
      </c>
      <c r="BJ32" s="36">
        <f t="shared" si="7"/>
        <v>0</v>
      </c>
      <c r="BK32" s="36">
        <f t="shared" si="7"/>
        <v>0</v>
      </c>
      <c r="BL32" s="36">
        <f t="shared" si="7"/>
        <v>0</v>
      </c>
      <c r="BM32" s="36">
        <f t="shared" si="7"/>
        <v>0</v>
      </c>
      <c r="BN32" s="36">
        <f t="shared" si="7"/>
        <v>0</v>
      </c>
      <c r="BO32" s="36">
        <f t="shared" si="7"/>
        <v>0</v>
      </c>
      <c r="BP32" s="36">
        <f t="shared" ref="BP32:CW34" si="8">BP35+BP38+BP41</f>
        <v>0</v>
      </c>
      <c r="BQ32" s="36">
        <f t="shared" si="8"/>
        <v>0</v>
      </c>
      <c r="BR32" s="36">
        <f t="shared" si="8"/>
        <v>0</v>
      </c>
      <c r="BS32" s="36">
        <f t="shared" si="8"/>
        <v>0</v>
      </c>
      <c r="BT32" s="36">
        <f t="shared" si="8"/>
        <v>0</v>
      </c>
      <c r="BU32" s="36">
        <f t="shared" si="8"/>
        <v>0</v>
      </c>
      <c r="BV32" s="36">
        <f t="shared" si="8"/>
        <v>0</v>
      </c>
      <c r="BW32" s="36">
        <f t="shared" si="8"/>
        <v>0</v>
      </c>
      <c r="BX32" s="36">
        <f t="shared" si="8"/>
        <v>0</v>
      </c>
      <c r="BY32" s="36">
        <f t="shared" si="8"/>
        <v>0</v>
      </c>
      <c r="BZ32" s="36">
        <f t="shared" si="8"/>
        <v>0</v>
      </c>
      <c r="CA32" s="36">
        <f t="shared" si="8"/>
        <v>0</v>
      </c>
      <c r="CB32" s="36">
        <f t="shared" si="8"/>
        <v>0</v>
      </c>
      <c r="CC32" s="36">
        <f t="shared" si="8"/>
        <v>0</v>
      </c>
      <c r="CD32" s="36">
        <f t="shared" si="8"/>
        <v>0</v>
      </c>
      <c r="CE32" s="36">
        <f t="shared" si="8"/>
        <v>0</v>
      </c>
      <c r="CF32" s="36">
        <f t="shared" si="8"/>
        <v>0</v>
      </c>
      <c r="CG32" s="36">
        <f t="shared" si="8"/>
        <v>0</v>
      </c>
      <c r="CH32" s="36">
        <f t="shared" si="8"/>
        <v>0</v>
      </c>
      <c r="CI32" s="36">
        <f t="shared" si="8"/>
        <v>0</v>
      </c>
      <c r="CJ32" s="36">
        <f t="shared" si="8"/>
        <v>0</v>
      </c>
      <c r="CK32" s="36">
        <f t="shared" si="8"/>
        <v>0</v>
      </c>
      <c r="CL32" s="36">
        <f t="shared" si="8"/>
        <v>0</v>
      </c>
      <c r="CM32" s="36">
        <f t="shared" si="8"/>
        <v>0</v>
      </c>
      <c r="CN32" s="36">
        <f t="shared" si="8"/>
        <v>0</v>
      </c>
      <c r="CO32" s="36">
        <f t="shared" si="8"/>
        <v>0</v>
      </c>
      <c r="CP32" s="36">
        <f t="shared" si="8"/>
        <v>0</v>
      </c>
      <c r="CQ32" s="36">
        <f t="shared" si="8"/>
        <v>0</v>
      </c>
      <c r="CR32" s="36">
        <f t="shared" si="8"/>
        <v>0</v>
      </c>
      <c r="CS32" s="36">
        <f t="shared" si="8"/>
        <v>0</v>
      </c>
      <c r="CT32" s="36">
        <f t="shared" si="8"/>
        <v>0</v>
      </c>
      <c r="CU32" s="36">
        <f t="shared" si="8"/>
        <v>0</v>
      </c>
      <c r="CV32" s="36">
        <f t="shared" si="8"/>
        <v>0</v>
      </c>
      <c r="CW32" s="36">
        <f t="shared" si="8"/>
        <v>0</v>
      </c>
    </row>
    <row r="33" spans="1:101" hidden="1" x14ac:dyDescent="0.25">
      <c r="A33" s="122"/>
      <c r="B33" s="3" t="s">
        <v>106</v>
      </c>
      <c r="C33" s="28">
        <f t="shared" ref="C33:R34" si="9">C36+C39+C42</f>
        <v>0</v>
      </c>
      <c r="D33" s="28">
        <f t="shared" si="9"/>
        <v>0</v>
      </c>
      <c r="E33" s="28">
        <f t="shared" si="9"/>
        <v>0</v>
      </c>
      <c r="F33" s="28">
        <f t="shared" si="9"/>
        <v>0</v>
      </c>
      <c r="G33" s="28">
        <f>G36+G39+G42</f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0</v>
      </c>
      <c r="R33" s="28">
        <f t="shared" si="9"/>
        <v>0</v>
      </c>
      <c r="S33" s="28">
        <f t="shared" si="7"/>
        <v>0</v>
      </c>
      <c r="T33" s="28">
        <f t="shared" si="7"/>
        <v>0</v>
      </c>
      <c r="U33" s="28">
        <f t="shared" si="7"/>
        <v>0</v>
      </c>
      <c r="V33" s="28">
        <f t="shared" si="7"/>
        <v>0</v>
      </c>
      <c r="W33" s="28">
        <f t="shared" si="7"/>
        <v>0</v>
      </c>
      <c r="X33" s="28">
        <f t="shared" si="7"/>
        <v>0</v>
      </c>
      <c r="Y33" s="28">
        <f t="shared" si="7"/>
        <v>0</v>
      </c>
      <c r="Z33" s="28">
        <f t="shared" si="7"/>
        <v>0</v>
      </c>
      <c r="AA33" s="28">
        <f t="shared" si="7"/>
        <v>0</v>
      </c>
      <c r="AB33" s="28">
        <f t="shared" si="7"/>
        <v>0</v>
      </c>
      <c r="AC33" s="28">
        <f t="shared" si="7"/>
        <v>0</v>
      </c>
      <c r="AD33" s="28">
        <f t="shared" si="7"/>
        <v>0</v>
      </c>
      <c r="AE33" s="28">
        <f t="shared" si="7"/>
        <v>0</v>
      </c>
      <c r="AF33" s="28">
        <f t="shared" si="7"/>
        <v>0</v>
      </c>
      <c r="AG33" s="28">
        <f t="shared" si="7"/>
        <v>0</v>
      </c>
      <c r="AH33" s="28">
        <f t="shared" si="7"/>
        <v>0</v>
      </c>
      <c r="AI33" s="28">
        <f t="shared" si="7"/>
        <v>0</v>
      </c>
      <c r="AJ33" s="28">
        <f t="shared" si="7"/>
        <v>0</v>
      </c>
      <c r="AK33" s="28">
        <f t="shared" si="7"/>
        <v>0</v>
      </c>
      <c r="AL33" s="28">
        <f t="shared" si="7"/>
        <v>0</v>
      </c>
      <c r="AM33" s="28">
        <f t="shared" si="7"/>
        <v>0</v>
      </c>
      <c r="AN33" s="28">
        <f t="shared" si="7"/>
        <v>0</v>
      </c>
      <c r="AO33" s="28">
        <f t="shared" si="7"/>
        <v>0</v>
      </c>
      <c r="AP33" s="28">
        <f t="shared" si="7"/>
        <v>0</v>
      </c>
      <c r="AQ33" s="28">
        <f t="shared" si="7"/>
        <v>0</v>
      </c>
      <c r="AR33" s="28">
        <f t="shared" si="7"/>
        <v>0</v>
      </c>
      <c r="AS33" s="28">
        <f t="shared" si="7"/>
        <v>0</v>
      </c>
      <c r="AT33" s="28">
        <f t="shared" si="7"/>
        <v>0</v>
      </c>
      <c r="AU33" s="28">
        <f t="shared" si="7"/>
        <v>0</v>
      </c>
      <c r="AV33" s="28">
        <f t="shared" si="7"/>
        <v>0</v>
      </c>
      <c r="AW33" s="28">
        <f t="shared" si="7"/>
        <v>0</v>
      </c>
      <c r="AX33" s="28">
        <f t="shared" si="7"/>
        <v>0</v>
      </c>
      <c r="AY33" s="28">
        <f t="shared" si="7"/>
        <v>0</v>
      </c>
      <c r="AZ33" s="28">
        <f t="shared" si="7"/>
        <v>0</v>
      </c>
      <c r="BA33" s="28">
        <f t="shared" si="7"/>
        <v>0</v>
      </c>
      <c r="BB33" s="28">
        <f t="shared" si="7"/>
        <v>0</v>
      </c>
      <c r="BC33" s="28">
        <f t="shared" si="7"/>
        <v>0</v>
      </c>
      <c r="BD33" s="28">
        <f t="shared" si="7"/>
        <v>0</v>
      </c>
      <c r="BE33" s="28">
        <f t="shared" si="7"/>
        <v>0</v>
      </c>
      <c r="BF33" s="28">
        <f t="shared" si="7"/>
        <v>0</v>
      </c>
      <c r="BG33" s="28">
        <f t="shared" si="7"/>
        <v>0</v>
      </c>
      <c r="BH33" s="28">
        <f t="shared" si="7"/>
        <v>0</v>
      </c>
      <c r="BI33" s="28">
        <f t="shared" si="7"/>
        <v>0</v>
      </c>
      <c r="BJ33" s="28">
        <f t="shared" si="7"/>
        <v>0</v>
      </c>
      <c r="BK33" s="28">
        <f t="shared" si="7"/>
        <v>0</v>
      </c>
      <c r="BL33" s="28">
        <f t="shared" si="7"/>
        <v>0</v>
      </c>
      <c r="BM33" s="28">
        <f t="shared" si="7"/>
        <v>0</v>
      </c>
      <c r="BN33" s="28">
        <f t="shared" si="7"/>
        <v>0</v>
      </c>
      <c r="BO33" s="28">
        <f t="shared" si="7"/>
        <v>0</v>
      </c>
      <c r="BP33" s="28">
        <f t="shared" si="8"/>
        <v>0</v>
      </c>
      <c r="BQ33" s="28">
        <f t="shared" si="8"/>
        <v>0</v>
      </c>
      <c r="BR33" s="28">
        <f t="shared" si="8"/>
        <v>0</v>
      </c>
      <c r="BS33" s="28">
        <f t="shared" si="8"/>
        <v>0</v>
      </c>
      <c r="BT33" s="28">
        <f t="shared" si="8"/>
        <v>0</v>
      </c>
      <c r="BU33" s="28">
        <f t="shared" si="8"/>
        <v>0</v>
      </c>
      <c r="BV33" s="28">
        <f t="shared" si="8"/>
        <v>0</v>
      </c>
      <c r="BW33" s="28">
        <f t="shared" si="8"/>
        <v>0</v>
      </c>
      <c r="BX33" s="28">
        <f t="shared" si="8"/>
        <v>0</v>
      </c>
      <c r="BY33" s="28">
        <f t="shared" si="8"/>
        <v>0</v>
      </c>
      <c r="BZ33" s="28">
        <f t="shared" si="8"/>
        <v>0</v>
      </c>
      <c r="CA33" s="28">
        <f t="shared" si="8"/>
        <v>0</v>
      </c>
      <c r="CB33" s="28">
        <f t="shared" si="8"/>
        <v>0</v>
      </c>
      <c r="CC33" s="28">
        <f t="shared" si="8"/>
        <v>0</v>
      </c>
      <c r="CD33" s="28">
        <f t="shared" si="8"/>
        <v>0</v>
      </c>
      <c r="CE33" s="28">
        <f t="shared" si="8"/>
        <v>0</v>
      </c>
      <c r="CF33" s="28">
        <f t="shared" si="8"/>
        <v>0</v>
      </c>
      <c r="CG33" s="28">
        <f t="shared" si="8"/>
        <v>0</v>
      </c>
      <c r="CH33" s="28">
        <f t="shared" si="8"/>
        <v>0</v>
      </c>
      <c r="CI33" s="28">
        <f t="shared" si="8"/>
        <v>0</v>
      </c>
      <c r="CJ33" s="28">
        <f t="shared" si="8"/>
        <v>0</v>
      </c>
      <c r="CK33" s="28">
        <f t="shared" si="8"/>
        <v>0</v>
      </c>
      <c r="CL33" s="28">
        <f t="shared" si="8"/>
        <v>0</v>
      </c>
      <c r="CM33" s="28">
        <f t="shared" si="8"/>
        <v>0</v>
      </c>
      <c r="CN33" s="28">
        <f t="shared" si="8"/>
        <v>0</v>
      </c>
      <c r="CO33" s="28">
        <f t="shared" si="8"/>
        <v>0</v>
      </c>
      <c r="CP33" s="28">
        <f t="shared" si="8"/>
        <v>0</v>
      </c>
      <c r="CQ33" s="28">
        <f t="shared" si="8"/>
        <v>0</v>
      </c>
      <c r="CR33" s="28">
        <f t="shared" si="8"/>
        <v>0</v>
      </c>
      <c r="CS33" s="28">
        <f t="shared" si="8"/>
        <v>0</v>
      </c>
      <c r="CT33" s="28">
        <f t="shared" si="8"/>
        <v>0</v>
      </c>
      <c r="CU33" s="28">
        <f t="shared" si="8"/>
        <v>0</v>
      </c>
      <c r="CV33" s="28">
        <f t="shared" si="8"/>
        <v>0</v>
      </c>
      <c r="CW33" s="28">
        <f t="shared" si="8"/>
        <v>0</v>
      </c>
    </row>
    <row r="34" spans="1:101" hidden="1" x14ac:dyDescent="0.25">
      <c r="A34" s="122"/>
      <c r="B34" s="3" t="s">
        <v>102</v>
      </c>
      <c r="C34" s="19">
        <f t="shared" si="9"/>
        <v>0</v>
      </c>
      <c r="D34" s="19">
        <f t="shared" si="9"/>
        <v>0</v>
      </c>
      <c r="E34" s="19">
        <f t="shared" si="9"/>
        <v>0</v>
      </c>
      <c r="F34" s="19">
        <f t="shared" si="9"/>
        <v>0</v>
      </c>
      <c r="G34" s="19">
        <f t="shared" si="9"/>
        <v>0</v>
      </c>
      <c r="H34" s="19">
        <f t="shared" si="9"/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9">
        <f t="shared" si="9"/>
        <v>0</v>
      </c>
      <c r="M34" s="19">
        <f t="shared" si="9"/>
        <v>0</v>
      </c>
      <c r="N34" s="19">
        <f t="shared" si="9"/>
        <v>0</v>
      </c>
      <c r="O34" s="19">
        <f t="shared" si="9"/>
        <v>0</v>
      </c>
      <c r="P34" s="19">
        <f t="shared" si="9"/>
        <v>0</v>
      </c>
      <c r="Q34" s="19">
        <f t="shared" si="9"/>
        <v>0</v>
      </c>
      <c r="R34" s="19">
        <f t="shared" si="9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  <c r="V34" s="19">
        <f t="shared" si="7"/>
        <v>0</v>
      </c>
      <c r="W34" s="19">
        <f t="shared" si="7"/>
        <v>0</v>
      </c>
      <c r="X34" s="19">
        <f t="shared" si="7"/>
        <v>0</v>
      </c>
      <c r="Y34" s="19">
        <f t="shared" si="7"/>
        <v>0</v>
      </c>
      <c r="Z34" s="19">
        <f t="shared" si="7"/>
        <v>0</v>
      </c>
      <c r="AA34" s="19">
        <f t="shared" si="7"/>
        <v>0</v>
      </c>
      <c r="AB34" s="19">
        <f t="shared" si="7"/>
        <v>0</v>
      </c>
      <c r="AC34" s="19">
        <f t="shared" si="7"/>
        <v>0</v>
      </c>
      <c r="AD34" s="19">
        <f t="shared" si="7"/>
        <v>0</v>
      </c>
      <c r="AE34" s="19">
        <f t="shared" si="7"/>
        <v>0</v>
      </c>
      <c r="AF34" s="19">
        <f t="shared" si="7"/>
        <v>0</v>
      </c>
      <c r="AG34" s="19">
        <f t="shared" si="7"/>
        <v>0</v>
      </c>
      <c r="AH34" s="19">
        <f t="shared" si="7"/>
        <v>0</v>
      </c>
      <c r="AI34" s="19">
        <f t="shared" si="7"/>
        <v>0</v>
      </c>
      <c r="AJ34" s="19">
        <f t="shared" si="7"/>
        <v>0</v>
      </c>
      <c r="AK34" s="19">
        <f t="shared" si="7"/>
        <v>0</v>
      </c>
      <c r="AL34" s="19">
        <f t="shared" si="7"/>
        <v>0</v>
      </c>
      <c r="AM34" s="19">
        <f t="shared" si="7"/>
        <v>0</v>
      </c>
      <c r="AN34" s="19">
        <f t="shared" si="7"/>
        <v>0</v>
      </c>
      <c r="AO34" s="19">
        <f t="shared" si="7"/>
        <v>0</v>
      </c>
      <c r="AP34" s="19">
        <f t="shared" si="7"/>
        <v>0</v>
      </c>
      <c r="AQ34" s="19">
        <f t="shared" si="7"/>
        <v>0</v>
      </c>
      <c r="AR34" s="19">
        <f t="shared" si="7"/>
        <v>0</v>
      </c>
      <c r="AS34" s="19">
        <f t="shared" si="7"/>
        <v>0</v>
      </c>
      <c r="AT34" s="19">
        <f t="shared" si="7"/>
        <v>0</v>
      </c>
      <c r="AU34" s="19">
        <f t="shared" si="7"/>
        <v>0</v>
      </c>
      <c r="AV34" s="19">
        <f t="shared" si="7"/>
        <v>0</v>
      </c>
      <c r="AW34" s="19">
        <f t="shared" si="7"/>
        <v>0</v>
      </c>
      <c r="AX34" s="19">
        <f t="shared" si="7"/>
        <v>0</v>
      </c>
      <c r="AY34" s="19">
        <f t="shared" si="7"/>
        <v>0</v>
      </c>
      <c r="AZ34" s="19">
        <f t="shared" si="7"/>
        <v>0</v>
      </c>
      <c r="BA34" s="19">
        <f t="shared" si="7"/>
        <v>0</v>
      </c>
      <c r="BB34" s="19">
        <f t="shared" si="7"/>
        <v>0</v>
      </c>
      <c r="BC34" s="19">
        <f t="shared" si="7"/>
        <v>0</v>
      </c>
      <c r="BD34" s="19">
        <f t="shared" si="7"/>
        <v>0</v>
      </c>
      <c r="BE34" s="19">
        <f t="shared" si="7"/>
        <v>0</v>
      </c>
      <c r="BF34" s="19">
        <f t="shared" si="7"/>
        <v>0</v>
      </c>
      <c r="BG34" s="19">
        <f t="shared" si="7"/>
        <v>0</v>
      </c>
      <c r="BH34" s="19">
        <f t="shared" si="7"/>
        <v>0</v>
      </c>
      <c r="BI34" s="19">
        <f t="shared" si="7"/>
        <v>0</v>
      </c>
      <c r="BJ34" s="19">
        <f t="shared" si="7"/>
        <v>0</v>
      </c>
      <c r="BK34" s="19">
        <f t="shared" si="7"/>
        <v>0</v>
      </c>
      <c r="BL34" s="19">
        <f t="shared" si="7"/>
        <v>0</v>
      </c>
      <c r="BM34" s="19">
        <f t="shared" si="7"/>
        <v>0</v>
      </c>
      <c r="BN34" s="19">
        <f t="shared" si="7"/>
        <v>0</v>
      </c>
      <c r="BO34" s="19">
        <f t="shared" si="7"/>
        <v>0</v>
      </c>
      <c r="BP34" s="19">
        <f t="shared" si="8"/>
        <v>0</v>
      </c>
      <c r="BQ34" s="19">
        <f t="shared" si="8"/>
        <v>0</v>
      </c>
      <c r="BR34" s="19">
        <f t="shared" si="8"/>
        <v>0</v>
      </c>
      <c r="BS34" s="19">
        <f t="shared" si="8"/>
        <v>0</v>
      </c>
      <c r="BT34" s="19">
        <f t="shared" si="8"/>
        <v>0</v>
      </c>
      <c r="BU34" s="19">
        <f t="shared" si="8"/>
        <v>0</v>
      </c>
      <c r="BV34" s="19">
        <f t="shared" si="8"/>
        <v>0</v>
      </c>
      <c r="BW34" s="19">
        <f t="shared" si="8"/>
        <v>0</v>
      </c>
      <c r="BX34" s="19">
        <f t="shared" si="8"/>
        <v>0</v>
      </c>
      <c r="BY34" s="19">
        <f t="shared" si="8"/>
        <v>0</v>
      </c>
      <c r="BZ34" s="19">
        <f t="shared" si="8"/>
        <v>0</v>
      </c>
      <c r="CA34" s="19">
        <f t="shared" si="8"/>
        <v>0</v>
      </c>
      <c r="CB34" s="19">
        <f t="shared" si="8"/>
        <v>0</v>
      </c>
      <c r="CC34" s="19">
        <f t="shared" si="8"/>
        <v>0</v>
      </c>
      <c r="CD34" s="19">
        <f t="shared" si="8"/>
        <v>0</v>
      </c>
      <c r="CE34" s="19">
        <f t="shared" si="8"/>
        <v>0</v>
      </c>
      <c r="CF34" s="19">
        <f t="shared" si="8"/>
        <v>0</v>
      </c>
      <c r="CG34" s="19">
        <f t="shared" si="8"/>
        <v>0</v>
      </c>
      <c r="CH34" s="19">
        <f t="shared" si="8"/>
        <v>0</v>
      </c>
      <c r="CI34" s="19">
        <f t="shared" si="8"/>
        <v>0</v>
      </c>
      <c r="CJ34" s="19">
        <f t="shared" si="8"/>
        <v>0</v>
      </c>
      <c r="CK34" s="19">
        <f t="shared" si="8"/>
        <v>0</v>
      </c>
      <c r="CL34" s="19">
        <f t="shared" si="8"/>
        <v>0</v>
      </c>
      <c r="CM34" s="19">
        <f t="shared" si="8"/>
        <v>0</v>
      </c>
      <c r="CN34" s="19">
        <f t="shared" si="8"/>
        <v>0</v>
      </c>
      <c r="CO34" s="19">
        <f t="shared" si="8"/>
        <v>0</v>
      </c>
      <c r="CP34" s="19">
        <f t="shared" si="8"/>
        <v>0</v>
      </c>
      <c r="CQ34" s="19">
        <f t="shared" si="8"/>
        <v>0</v>
      </c>
      <c r="CR34" s="19">
        <f t="shared" si="8"/>
        <v>0</v>
      </c>
      <c r="CS34" s="19">
        <f t="shared" si="8"/>
        <v>0</v>
      </c>
      <c r="CT34" s="19">
        <f t="shared" si="8"/>
        <v>0</v>
      </c>
      <c r="CU34" s="19">
        <f t="shared" si="8"/>
        <v>0</v>
      </c>
      <c r="CV34" s="19">
        <f t="shared" si="8"/>
        <v>0</v>
      </c>
      <c r="CW34" s="19">
        <f t="shared" si="8"/>
        <v>0</v>
      </c>
    </row>
    <row r="35" spans="1:101" hidden="1" x14ac:dyDescent="0.25">
      <c r="A35" s="122" t="s">
        <v>127</v>
      </c>
      <c r="B35" s="3" t="s">
        <v>126</v>
      </c>
      <c r="C35" s="36">
        <f>SUM(D35:CV35)</f>
        <v>0</v>
      </c>
      <c r="D35" s="37"/>
      <c r="E35" s="38"/>
      <c r="F35" s="37"/>
      <c r="G35" s="38"/>
      <c r="H35" s="37"/>
      <c r="I35" s="37"/>
      <c r="J35" s="38"/>
      <c r="K35" s="37"/>
      <c r="L35" s="37"/>
      <c r="M35" s="37"/>
      <c r="N35" s="37"/>
      <c r="O35" s="3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9"/>
      <c r="AS35" s="38"/>
      <c r="AT35" s="42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9"/>
      <c r="CW35" s="39"/>
    </row>
    <row r="36" spans="1:101" hidden="1" x14ac:dyDescent="0.25">
      <c r="A36" s="122"/>
      <c r="B36" s="3" t="s">
        <v>106</v>
      </c>
      <c r="C36" s="28">
        <f t="shared" ref="C36:C49" si="10">SUM(D36:CV36)</f>
        <v>0</v>
      </c>
      <c r="D36" s="29"/>
      <c r="E36" s="30"/>
      <c r="F36" s="29"/>
      <c r="G36" s="30"/>
      <c r="H36" s="29"/>
      <c r="I36" s="29"/>
      <c r="J36" s="30"/>
      <c r="K36" s="29"/>
      <c r="L36" s="29"/>
      <c r="M36" s="29"/>
      <c r="N36" s="29"/>
      <c r="O36" s="29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27"/>
      <c r="AS36" s="30"/>
      <c r="AT36" s="43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27"/>
      <c r="CW36" s="27"/>
    </row>
    <row r="37" spans="1:101" hidden="1" x14ac:dyDescent="0.25">
      <c r="A37" s="122"/>
      <c r="B37" s="3" t="s">
        <v>102</v>
      </c>
      <c r="C37" s="19">
        <f t="shared" si="10"/>
        <v>0</v>
      </c>
      <c r="D37" s="41"/>
      <c r="E37" s="23"/>
      <c r="F37" s="41"/>
      <c r="G37" s="23"/>
      <c r="H37" s="41"/>
      <c r="I37" s="41"/>
      <c r="J37" s="23"/>
      <c r="K37" s="41"/>
      <c r="L37" s="41"/>
      <c r="M37" s="41"/>
      <c r="N37" s="41"/>
      <c r="O37" s="41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AS37" s="23"/>
      <c r="AT37" s="44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4"/>
      <c r="CW37" s="24"/>
    </row>
    <row r="38" spans="1:101" hidden="1" x14ac:dyDescent="0.25">
      <c r="A38" s="122" t="s">
        <v>128</v>
      </c>
      <c r="B38" s="3" t="s">
        <v>126</v>
      </c>
      <c r="C38" s="36">
        <f t="shared" si="10"/>
        <v>0</v>
      </c>
      <c r="D38" s="29"/>
      <c r="E38" s="30"/>
      <c r="F38" s="29"/>
      <c r="G38" s="30"/>
      <c r="H38" s="29"/>
      <c r="I38" s="29"/>
      <c r="J38" s="30"/>
      <c r="K38" s="29"/>
      <c r="L38" s="29"/>
      <c r="M38" s="29"/>
      <c r="N38" s="29"/>
      <c r="O38" s="2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27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8"/>
      <c r="BN38" s="20"/>
      <c r="BO38" s="20"/>
      <c r="BP38" s="20"/>
      <c r="BQ38" s="20"/>
      <c r="BR38" s="20"/>
      <c r="BS38" s="20"/>
      <c r="BT38" s="3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/>
      <c r="CW38" s="21"/>
    </row>
    <row r="39" spans="1:101" hidden="1" x14ac:dyDescent="0.25">
      <c r="A39" s="122"/>
      <c r="B39" s="3" t="s">
        <v>106</v>
      </c>
      <c r="C39" s="28">
        <f t="shared" si="10"/>
        <v>0</v>
      </c>
      <c r="D39" s="29"/>
      <c r="E39" s="30"/>
      <c r="F39" s="29"/>
      <c r="G39" s="30"/>
      <c r="H39" s="29"/>
      <c r="I39" s="29"/>
      <c r="J39" s="30"/>
      <c r="K39" s="29"/>
      <c r="L39" s="29"/>
      <c r="M39" s="29"/>
      <c r="N39" s="29"/>
      <c r="O39" s="29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27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8"/>
      <c r="BN39" s="20"/>
      <c r="BO39" s="20"/>
      <c r="BP39" s="20"/>
      <c r="BQ39" s="20"/>
      <c r="BR39" s="20"/>
      <c r="BS39" s="20"/>
      <c r="BT39" s="3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21"/>
    </row>
    <row r="40" spans="1:101" hidden="1" x14ac:dyDescent="0.25">
      <c r="A40" s="122"/>
      <c r="B40" s="3" t="s">
        <v>102</v>
      </c>
      <c r="C40" s="19">
        <f t="shared" si="10"/>
        <v>0</v>
      </c>
      <c r="D40" s="29"/>
      <c r="E40" s="30"/>
      <c r="F40" s="29"/>
      <c r="G40" s="30"/>
      <c r="H40" s="29"/>
      <c r="I40" s="29"/>
      <c r="J40" s="30"/>
      <c r="K40" s="29"/>
      <c r="L40" s="29"/>
      <c r="M40" s="29"/>
      <c r="N40" s="29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27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20"/>
      <c r="BO40" s="20"/>
      <c r="BP40" s="20"/>
      <c r="BQ40" s="20"/>
      <c r="BR40" s="20"/>
      <c r="BS40" s="20"/>
      <c r="BT40" s="3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21"/>
    </row>
    <row r="41" spans="1:101" hidden="1" x14ac:dyDescent="0.25">
      <c r="A41" s="122" t="s">
        <v>129</v>
      </c>
      <c r="B41" s="3" t="s">
        <v>126</v>
      </c>
      <c r="C41" s="36">
        <f t="shared" si="10"/>
        <v>0</v>
      </c>
      <c r="D41" s="29"/>
      <c r="E41" s="30"/>
      <c r="F41" s="29"/>
      <c r="G41" s="30"/>
      <c r="H41" s="29"/>
      <c r="I41" s="29"/>
      <c r="J41" s="30"/>
      <c r="K41" s="29"/>
      <c r="L41" s="29"/>
      <c r="M41" s="29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8"/>
      <c r="AN41" s="30"/>
      <c r="AO41" s="30"/>
      <c r="AP41" s="30"/>
      <c r="AQ41" s="30"/>
      <c r="AR41" s="27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20"/>
      <c r="BO41" s="20"/>
      <c r="BP41" s="20"/>
      <c r="BQ41" s="20"/>
      <c r="BR41" s="20"/>
      <c r="BS41" s="20"/>
      <c r="BT41" s="3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21"/>
    </row>
    <row r="42" spans="1:101" hidden="1" x14ac:dyDescent="0.25">
      <c r="A42" s="122"/>
      <c r="B42" s="3" t="s">
        <v>106</v>
      </c>
      <c r="C42" s="28">
        <f t="shared" si="10"/>
        <v>0</v>
      </c>
      <c r="D42" s="29"/>
      <c r="E42" s="30"/>
      <c r="F42" s="29"/>
      <c r="G42" s="30"/>
      <c r="H42" s="29"/>
      <c r="I42" s="29"/>
      <c r="J42" s="30"/>
      <c r="K42" s="29"/>
      <c r="L42" s="29"/>
      <c r="M42" s="29"/>
      <c r="N42" s="29"/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27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20"/>
      <c r="BO42" s="20"/>
      <c r="BP42" s="20"/>
      <c r="BQ42" s="20"/>
      <c r="BR42" s="20"/>
      <c r="BS42" s="20"/>
      <c r="BT42" s="3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21"/>
    </row>
    <row r="43" spans="1:101" hidden="1" x14ac:dyDescent="0.25">
      <c r="A43" s="122"/>
      <c r="B43" s="3" t="s">
        <v>102</v>
      </c>
      <c r="C43" s="19">
        <f t="shared" si="10"/>
        <v>0</v>
      </c>
      <c r="D43" s="29"/>
      <c r="E43" s="30"/>
      <c r="F43" s="29"/>
      <c r="G43" s="30"/>
      <c r="H43" s="29"/>
      <c r="I43" s="29"/>
      <c r="J43" s="30"/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3"/>
      <c r="AN43" s="30"/>
      <c r="AO43" s="30"/>
      <c r="AP43" s="30"/>
      <c r="AQ43" s="30"/>
      <c r="AR43" s="27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20"/>
      <c r="BO43" s="20"/>
      <c r="BP43" s="20"/>
      <c r="BQ43" s="20"/>
      <c r="BR43" s="20"/>
      <c r="BS43" s="20"/>
      <c r="BT43" s="3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1"/>
      <c r="CW43" s="21"/>
    </row>
    <row r="44" spans="1:101" x14ac:dyDescent="0.25">
      <c r="A44" s="122" t="s">
        <v>130</v>
      </c>
      <c r="B44" s="3" t="s">
        <v>106</v>
      </c>
      <c r="C44" s="28">
        <f t="shared" si="10"/>
        <v>7.6799999999999993E-2</v>
      </c>
      <c r="D44" s="29"/>
      <c r="E44" s="30"/>
      <c r="F44" s="29"/>
      <c r="G44" s="30"/>
      <c r="H44" s="29"/>
      <c r="I44" s="29"/>
      <c r="J44" s="30"/>
      <c r="K44" s="29"/>
      <c r="L44" s="29"/>
      <c r="M44" s="29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27"/>
      <c r="AS44" s="24">
        <f>0.0048*4</f>
        <v>1.9199999999999998E-2</v>
      </c>
      <c r="AT44" s="27">
        <f>0.0048*2</f>
        <v>9.5999999999999992E-3</v>
      </c>
      <c r="AU44" s="24">
        <f>0.0048*2</f>
        <v>9.5999999999999992E-3</v>
      </c>
      <c r="AV44" s="23"/>
      <c r="AW44" s="24">
        <f>0.0048*4</f>
        <v>1.9199999999999998E-2</v>
      </c>
      <c r="AX44" s="24">
        <f>0.0048*4</f>
        <v>1.9199999999999998E-2</v>
      </c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27"/>
      <c r="CW44" s="27"/>
    </row>
    <row r="45" spans="1:101" x14ac:dyDescent="0.25">
      <c r="A45" s="122"/>
      <c r="B45" s="3" t="s">
        <v>102</v>
      </c>
      <c r="C45" s="19">
        <f t="shared" si="10"/>
        <v>131.19999999999999</v>
      </c>
      <c r="D45" s="41"/>
      <c r="E45" s="23"/>
      <c r="F45" s="41"/>
      <c r="G45" s="23"/>
      <c r="H45" s="41"/>
      <c r="I45" s="41"/>
      <c r="J45" s="23"/>
      <c r="K45" s="41"/>
      <c r="L45" s="41"/>
      <c r="M45" s="41"/>
      <c r="N45" s="41"/>
      <c r="O45" s="41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4"/>
      <c r="AS45" s="23">
        <f>8.2*4</f>
        <v>32.799999999999997</v>
      </c>
      <c r="AT45" s="23">
        <f>8.2*2</f>
        <v>16.399999999999999</v>
      </c>
      <c r="AU45" s="23">
        <f>8.2*2</f>
        <v>16.399999999999999</v>
      </c>
      <c r="AV45" s="23"/>
      <c r="AW45" s="23">
        <f>8.2*4</f>
        <v>32.799999999999997</v>
      </c>
      <c r="AX45" s="23">
        <f>8.2*4</f>
        <v>32.799999999999997</v>
      </c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4"/>
      <c r="CW45" s="24"/>
    </row>
    <row r="46" spans="1:101" x14ac:dyDescent="0.25">
      <c r="A46" s="125" t="s">
        <v>131</v>
      </c>
      <c r="B46" s="45" t="s">
        <v>132</v>
      </c>
      <c r="C46" s="28">
        <f t="shared" si="10"/>
        <v>1.5576000000000001</v>
      </c>
      <c r="D46" s="29"/>
      <c r="E46" s="30"/>
      <c r="F46" s="29"/>
      <c r="G46" s="30"/>
      <c r="H46" s="29"/>
      <c r="I46" s="29">
        <v>1.6E-2</v>
      </c>
      <c r="J46" s="30">
        <v>1.4999999999999999E-2</v>
      </c>
      <c r="K46" s="29">
        <v>1E-3</v>
      </c>
      <c r="L46" s="29"/>
      <c r="M46" s="29"/>
      <c r="N46" s="29"/>
      <c r="O46" s="29">
        <v>5.3999999999999999E-2</v>
      </c>
      <c r="P46" s="30"/>
      <c r="Q46" s="30"/>
      <c r="R46" s="30"/>
      <c r="S46" s="30"/>
      <c r="T46" s="30"/>
      <c r="U46" s="30">
        <v>1.6E-2</v>
      </c>
      <c r="V46" s="30"/>
      <c r="W46" s="30"/>
      <c r="X46" s="30"/>
      <c r="Y46" s="30"/>
      <c r="Z46" s="30"/>
      <c r="AA46" s="30"/>
      <c r="AB46" s="30"/>
      <c r="AC46" s="30"/>
      <c r="AD46" s="30">
        <v>0.06</v>
      </c>
      <c r="AE46" s="30">
        <v>2.1999999999999999E-2</v>
      </c>
      <c r="AF46" s="30"/>
      <c r="AG46" s="30"/>
      <c r="AH46" s="30"/>
      <c r="AI46" s="30">
        <v>0.01</v>
      </c>
      <c r="AJ46" s="30">
        <v>3.9E-2</v>
      </c>
      <c r="AK46" s="30"/>
      <c r="AL46" s="30"/>
      <c r="AM46" s="30"/>
      <c r="AN46" s="30"/>
      <c r="AO46" s="30">
        <v>0.29899999999999999</v>
      </c>
      <c r="AP46" s="30">
        <v>0.23400000000000001</v>
      </c>
      <c r="AQ46" s="30">
        <v>6.0000000000000001E-3</v>
      </c>
      <c r="AR46" s="27"/>
      <c r="AS46" s="30">
        <v>4.0000000000000001E-3</v>
      </c>
      <c r="AT46" s="30"/>
      <c r="AU46" s="30"/>
      <c r="AV46" s="30"/>
      <c r="AW46" s="30"/>
      <c r="AX46" s="30"/>
      <c r="AY46" s="30">
        <v>3.0000000000000001E-3</v>
      </c>
      <c r="AZ46" s="30"/>
      <c r="BA46" s="30"/>
      <c r="BB46" s="30"/>
      <c r="BC46" s="30"/>
      <c r="BD46" s="30">
        <v>2.4E-2</v>
      </c>
      <c r="BE46" s="30"/>
      <c r="BF46" s="30"/>
      <c r="BG46" s="30"/>
      <c r="BH46" s="30"/>
      <c r="BI46" s="30"/>
      <c r="BJ46" s="30"/>
      <c r="BK46" s="30"/>
      <c r="BL46" s="30"/>
      <c r="BM46" s="30">
        <v>3.9E-2</v>
      </c>
      <c r="BN46" s="30"/>
      <c r="BO46" s="30">
        <v>5.0000000000000001E-3</v>
      </c>
      <c r="BP46" s="40">
        <v>0.31759999999999999</v>
      </c>
      <c r="BQ46" s="30">
        <v>2.3E-2</v>
      </c>
      <c r="BR46" s="30"/>
      <c r="BS46" s="30"/>
      <c r="BT46" s="30">
        <v>1.6E-2</v>
      </c>
      <c r="BU46" s="30">
        <v>6.0000000000000001E-3</v>
      </c>
      <c r="BV46" s="30"/>
      <c r="BW46" s="30"/>
      <c r="BX46" s="30"/>
      <c r="BY46" s="30">
        <v>0.3</v>
      </c>
      <c r="BZ46" s="30">
        <v>4.8000000000000001E-2</v>
      </c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27"/>
      <c r="CW46" s="27"/>
    </row>
    <row r="47" spans="1:101" x14ac:dyDescent="0.25">
      <c r="A47" s="125"/>
      <c r="B47" s="45" t="s">
        <v>102</v>
      </c>
      <c r="C47" s="19">
        <f t="shared" si="10"/>
        <v>1678.1999999999998</v>
      </c>
      <c r="D47" s="41"/>
      <c r="E47" s="23"/>
      <c r="F47" s="41"/>
      <c r="G47" s="23"/>
      <c r="H47" s="41"/>
      <c r="I47" s="41">
        <v>22.46</v>
      </c>
      <c r="J47" s="23">
        <v>21.76</v>
      </c>
      <c r="K47" s="41">
        <v>0.99</v>
      </c>
      <c r="L47" s="41"/>
      <c r="M47" s="41"/>
      <c r="N47" s="41"/>
      <c r="O47" s="41">
        <v>54.35</v>
      </c>
      <c r="P47" s="23"/>
      <c r="Q47" s="23"/>
      <c r="R47" s="23"/>
      <c r="S47" s="23"/>
      <c r="T47" s="23"/>
      <c r="U47" s="23">
        <v>15.6</v>
      </c>
      <c r="V47" s="23"/>
      <c r="W47" s="23"/>
      <c r="X47" s="23"/>
      <c r="Y47" s="23"/>
      <c r="Z47" s="23"/>
      <c r="AA47" s="23"/>
      <c r="AB47" s="23"/>
      <c r="AC47" s="23"/>
      <c r="AD47" s="23">
        <v>60.37</v>
      </c>
      <c r="AE47" s="23">
        <v>22.54</v>
      </c>
      <c r="AF47" s="23"/>
      <c r="AG47" s="23"/>
      <c r="AH47" s="23"/>
      <c r="AI47" s="23">
        <v>10.46</v>
      </c>
      <c r="AJ47" s="23">
        <v>39.35</v>
      </c>
      <c r="AK47" s="23"/>
      <c r="AL47" s="23"/>
      <c r="AM47" s="23"/>
      <c r="AN47" s="23"/>
      <c r="AO47" s="23">
        <v>267.73</v>
      </c>
      <c r="AP47" s="23">
        <v>334.54</v>
      </c>
      <c r="AQ47" s="23">
        <v>4.99</v>
      </c>
      <c r="AR47" s="24"/>
      <c r="AS47" s="23">
        <v>5.16</v>
      </c>
      <c r="AT47" s="23"/>
      <c r="AU47" s="23"/>
      <c r="AV47" s="23"/>
      <c r="AW47" s="23"/>
      <c r="AX47" s="23"/>
      <c r="AY47" s="23">
        <v>2.41</v>
      </c>
      <c r="AZ47" s="23"/>
      <c r="BA47" s="23"/>
      <c r="BB47" s="23"/>
      <c r="BC47" s="23"/>
      <c r="BD47" s="23">
        <v>34.32</v>
      </c>
      <c r="BE47" s="23"/>
      <c r="BF47" s="23"/>
      <c r="BG47" s="23"/>
      <c r="BH47" s="23"/>
      <c r="BI47" s="23"/>
      <c r="BJ47" s="23"/>
      <c r="BK47" s="23"/>
      <c r="BL47" s="23"/>
      <c r="BM47" s="23">
        <v>28.86</v>
      </c>
      <c r="BN47" s="23"/>
      <c r="BO47" s="23">
        <v>4.22</v>
      </c>
      <c r="BP47" s="40">
        <v>319.57</v>
      </c>
      <c r="BQ47" s="23">
        <v>19.62</v>
      </c>
      <c r="BR47" s="23"/>
      <c r="BS47" s="23"/>
      <c r="BT47" s="23">
        <v>16.3</v>
      </c>
      <c r="BU47" s="23">
        <v>5.33</v>
      </c>
      <c r="BV47" s="23"/>
      <c r="BW47" s="23"/>
      <c r="BX47" s="23"/>
      <c r="BY47" s="23">
        <v>338.56</v>
      </c>
      <c r="BZ47" s="23">
        <v>48.71</v>
      </c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4"/>
      <c r="CW47" s="24"/>
    </row>
    <row r="48" spans="1:101" hidden="1" x14ac:dyDescent="0.25">
      <c r="A48" s="125" t="s">
        <v>133</v>
      </c>
      <c r="B48" s="45" t="s">
        <v>121</v>
      </c>
      <c r="C48" s="36">
        <f t="shared" si="10"/>
        <v>0</v>
      </c>
      <c r="D48" s="37"/>
      <c r="E48" s="38"/>
      <c r="F48" s="37"/>
      <c r="G48" s="38"/>
      <c r="H48" s="37"/>
      <c r="I48" s="37"/>
      <c r="J48" s="38"/>
      <c r="K48" s="37"/>
      <c r="L48" s="37"/>
      <c r="M48" s="37"/>
      <c r="N48" s="37"/>
      <c r="O48" s="37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9"/>
      <c r="CW48" s="39"/>
    </row>
    <row r="49" spans="1:101" hidden="1" x14ac:dyDescent="0.25">
      <c r="A49" s="125"/>
      <c r="B49" s="45" t="s">
        <v>102</v>
      </c>
      <c r="C49" s="19">
        <f t="shared" si="10"/>
        <v>0</v>
      </c>
      <c r="D49" s="41"/>
      <c r="E49" s="23"/>
      <c r="F49" s="41"/>
      <c r="G49" s="23"/>
      <c r="H49" s="41"/>
      <c r="I49" s="41"/>
      <c r="J49" s="23"/>
      <c r="K49" s="41"/>
      <c r="L49" s="41"/>
      <c r="M49" s="41"/>
      <c r="N49" s="41"/>
      <c r="O49" s="41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4"/>
      <c r="CW49" s="24"/>
    </row>
    <row r="50" spans="1:101" x14ac:dyDescent="0.25">
      <c r="A50" s="46" t="s">
        <v>134</v>
      </c>
      <c r="B50" s="18" t="s">
        <v>106</v>
      </c>
      <c r="C50" s="28">
        <f t="shared" si="4"/>
        <v>17.901000000000003</v>
      </c>
      <c r="D50" s="20">
        <f>0.179+0.172+0.172</f>
        <v>0.52299999999999991</v>
      </c>
      <c r="E50" s="20"/>
      <c r="F50" s="21"/>
      <c r="G50" s="20"/>
      <c r="H50" s="21">
        <f>0.171+0.178</f>
        <v>0.34899999999999998</v>
      </c>
      <c r="I50" s="20">
        <f>0.172+0.179</f>
        <v>0.35099999999999998</v>
      </c>
      <c r="J50" s="20"/>
      <c r="K50" s="21"/>
      <c r="L50" s="21"/>
      <c r="M50" s="21">
        <f>0.174*2</f>
        <v>0.34799999999999998</v>
      </c>
      <c r="N50" s="21">
        <f>0.182+0.176</f>
        <v>0.35799999999999998</v>
      </c>
      <c r="O50" s="21">
        <f>0.173*3</f>
        <v>0.51899999999999991</v>
      </c>
      <c r="P50" s="47">
        <v>0.44700000000000001</v>
      </c>
      <c r="Q50" s="21"/>
      <c r="R50" s="21"/>
      <c r="S50" s="21"/>
      <c r="T50" s="21">
        <f>0.157+0.157</f>
        <v>0.314</v>
      </c>
      <c r="U50" s="30">
        <f>0.138+0.138</f>
        <v>0.27600000000000002</v>
      </c>
      <c r="V50" s="30"/>
      <c r="W50" s="30"/>
      <c r="X50" s="30"/>
      <c r="Y50" s="30">
        <v>0.13800000000000001</v>
      </c>
      <c r="Z50" s="30"/>
      <c r="AA50" s="30">
        <f>0.31+0.31</f>
        <v>0.62</v>
      </c>
      <c r="AB50" s="30"/>
      <c r="AC50" s="30"/>
      <c r="AD50" s="30"/>
      <c r="AE50" s="30"/>
      <c r="AF50" s="30"/>
      <c r="AG50" s="30">
        <f>0.137*3</f>
        <v>0.41100000000000003</v>
      </c>
      <c r="AH50" s="30"/>
      <c r="AI50" s="30">
        <f>0.137+0.137+0.152+0.175</f>
        <v>0.60099999999999998</v>
      </c>
      <c r="AJ50" s="30"/>
      <c r="AK50" s="30"/>
      <c r="AL50" s="30"/>
      <c r="AM50" s="30"/>
      <c r="AN50" s="30"/>
      <c r="AO50" s="30"/>
      <c r="AP50" s="30">
        <f>0.137*3</f>
        <v>0.41100000000000003</v>
      </c>
      <c r="AQ50" s="30"/>
      <c r="AR50" s="27"/>
      <c r="AS50" s="30"/>
      <c r="AT50" s="27">
        <f>0.177+0.18+0.177+0.177</f>
        <v>0.71100000000000008</v>
      </c>
      <c r="AU50" s="27">
        <f>0.176*3</f>
        <v>0.52800000000000002</v>
      </c>
      <c r="AV50" s="30"/>
      <c r="AW50" s="27">
        <f>0.171+0.178</f>
        <v>0.34899999999999998</v>
      </c>
      <c r="AX50" s="27">
        <v>0.28399999999999997</v>
      </c>
      <c r="AY50" s="27">
        <f>0.192*3</f>
        <v>0.57600000000000007</v>
      </c>
      <c r="AZ50" s="27">
        <f>0.172*2</f>
        <v>0.34399999999999997</v>
      </c>
      <c r="BA50" s="30"/>
      <c r="BB50" s="30"/>
      <c r="BC50" s="30">
        <f>0.174*2</f>
        <v>0.34799999999999998</v>
      </c>
      <c r="BD50" s="30">
        <f>0.176*3+0.182</f>
        <v>0.71</v>
      </c>
      <c r="BE50" s="30">
        <f>0.206*4+0.215</f>
        <v>1.0389999999999999</v>
      </c>
      <c r="BF50" s="30"/>
      <c r="BG50" s="30"/>
      <c r="BH50" s="30">
        <f>0.155*2</f>
        <v>0.31</v>
      </c>
      <c r="BI50" s="30">
        <v>1.3680000000000001</v>
      </c>
      <c r="BJ50" s="30"/>
      <c r="BK50" s="30">
        <f>0.174*2+0.188</f>
        <v>0.53600000000000003</v>
      </c>
      <c r="BL50" s="30">
        <f>0.177*4</f>
        <v>0.70799999999999996</v>
      </c>
      <c r="BM50" s="30">
        <f>0.177*3</f>
        <v>0.53099999999999992</v>
      </c>
      <c r="BN50" s="30">
        <f>0.103+0.103</f>
        <v>0.20599999999999999</v>
      </c>
      <c r="BO50" s="27">
        <v>0.89400000000000002</v>
      </c>
      <c r="BP50" s="48">
        <v>0.65400000000000003</v>
      </c>
      <c r="BQ50" s="48"/>
      <c r="BR50" s="30"/>
      <c r="BS50" s="27"/>
      <c r="BT50" s="27"/>
      <c r="BU50" s="30"/>
      <c r="BV50" s="30"/>
      <c r="BW50" s="30"/>
      <c r="BX50" s="49"/>
      <c r="BY50" s="27"/>
      <c r="BZ50" s="49"/>
      <c r="CA50" s="27">
        <v>1.0840000000000001</v>
      </c>
      <c r="CB50" s="27">
        <v>1.0549999999999999</v>
      </c>
      <c r="CC50" s="27"/>
      <c r="CD50" s="30"/>
      <c r="CE50" s="27"/>
      <c r="CF50" s="27"/>
      <c r="CG50" s="27"/>
      <c r="CH50" s="27"/>
      <c r="CI50" s="30"/>
      <c r="CJ50" s="30"/>
      <c r="CK50" s="27"/>
      <c r="CL50" s="27"/>
      <c r="CM50" s="30"/>
      <c r="CN50" s="30"/>
      <c r="CO50" s="30"/>
      <c r="CP50" s="30"/>
      <c r="CQ50" s="30"/>
      <c r="CR50" s="30"/>
      <c r="CS50" s="27"/>
      <c r="CT50" s="27"/>
      <c r="CU50" s="30"/>
      <c r="CV50" s="27"/>
      <c r="CW50" s="27"/>
    </row>
    <row r="51" spans="1:101" x14ac:dyDescent="0.25">
      <c r="A51" s="46" t="s">
        <v>135</v>
      </c>
      <c r="B51" s="18" t="s">
        <v>136</v>
      </c>
      <c r="C51" s="36">
        <f t="shared" si="4"/>
        <v>81</v>
      </c>
      <c r="D51" s="20">
        <v>3</v>
      </c>
      <c r="E51" s="20"/>
      <c r="F51" s="21"/>
      <c r="G51" s="20"/>
      <c r="H51" s="21">
        <v>2</v>
      </c>
      <c r="I51" s="21">
        <v>2</v>
      </c>
      <c r="J51" s="20"/>
      <c r="K51" s="21"/>
      <c r="L51" s="21"/>
      <c r="M51" s="50">
        <v>2</v>
      </c>
      <c r="N51" s="21">
        <v>2</v>
      </c>
      <c r="O51" s="20">
        <v>3</v>
      </c>
      <c r="P51" s="47">
        <v>2</v>
      </c>
      <c r="Q51" s="21"/>
      <c r="R51" s="21"/>
      <c r="S51" s="21"/>
      <c r="T51" s="21">
        <v>0</v>
      </c>
      <c r="U51" s="20">
        <v>2</v>
      </c>
      <c r="V51" s="20"/>
      <c r="W51" s="50"/>
      <c r="X51" s="20"/>
      <c r="Y51" s="20">
        <v>1</v>
      </c>
      <c r="Z51" s="20"/>
      <c r="AA51" s="20">
        <v>2</v>
      </c>
      <c r="AB51" s="20"/>
      <c r="AC51" s="20"/>
      <c r="AD51" s="20"/>
      <c r="AE51" s="20"/>
      <c r="AF51" s="20"/>
      <c r="AG51" s="20">
        <v>3</v>
      </c>
      <c r="AH51" s="20"/>
      <c r="AI51" s="50">
        <v>4</v>
      </c>
      <c r="AJ51" s="20"/>
      <c r="AK51" s="20"/>
      <c r="AL51" s="20"/>
      <c r="AM51" s="20"/>
      <c r="AN51" s="20"/>
      <c r="AO51" s="20"/>
      <c r="AP51" s="20">
        <v>3</v>
      </c>
      <c r="AQ51" s="20"/>
      <c r="AR51" s="21"/>
      <c r="AS51" s="38"/>
      <c r="AT51" s="38">
        <v>4</v>
      </c>
      <c r="AU51" s="39">
        <v>3</v>
      </c>
      <c r="AV51" s="38"/>
      <c r="AW51" s="51">
        <v>2</v>
      </c>
      <c r="AX51" s="39">
        <v>1</v>
      </c>
      <c r="AY51" s="38">
        <v>3</v>
      </c>
      <c r="AZ51" s="39">
        <v>2</v>
      </c>
      <c r="BA51" s="23"/>
      <c r="BB51" s="38"/>
      <c r="BC51" s="20">
        <v>2</v>
      </c>
      <c r="BD51" s="20">
        <v>4</v>
      </c>
      <c r="BE51" s="50">
        <v>5</v>
      </c>
      <c r="BF51" s="20"/>
      <c r="BG51" s="20"/>
      <c r="BH51" s="20">
        <v>2</v>
      </c>
      <c r="BI51" s="20">
        <v>2</v>
      </c>
      <c r="BJ51" s="20"/>
      <c r="BK51" s="20">
        <v>3</v>
      </c>
      <c r="BL51" s="20">
        <v>4</v>
      </c>
      <c r="BM51" s="20">
        <v>3</v>
      </c>
      <c r="BN51" s="20">
        <v>2</v>
      </c>
      <c r="BO51" s="21">
        <v>2</v>
      </c>
      <c r="BP51" s="20">
        <v>2</v>
      </c>
      <c r="BQ51" s="20"/>
      <c r="BR51" s="20"/>
      <c r="BS51" s="21"/>
      <c r="BT51" s="50"/>
      <c r="BU51" s="20"/>
      <c r="BV51" s="20"/>
      <c r="BW51" s="20"/>
      <c r="BX51" s="21"/>
      <c r="BY51" s="21"/>
      <c r="BZ51" s="21"/>
      <c r="CA51" s="21">
        <v>2</v>
      </c>
      <c r="CB51" s="21">
        <v>2</v>
      </c>
      <c r="CC51" s="21"/>
      <c r="CD51" s="20"/>
      <c r="CE51" s="21"/>
      <c r="CF51" s="21"/>
      <c r="CG51" s="21"/>
      <c r="CH51" s="21"/>
      <c r="CI51" s="20"/>
      <c r="CJ51" s="20"/>
      <c r="CK51" s="21"/>
      <c r="CL51" s="21"/>
      <c r="CM51" s="20"/>
      <c r="CN51" s="20"/>
      <c r="CO51" s="20"/>
      <c r="CP51" s="20"/>
      <c r="CQ51" s="20"/>
      <c r="CR51" s="20"/>
      <c r="CS51" s="21"/>
      <c r="CT51" s="21"/>
      <c r="CU51" s="20"/>
      <c r="CV51" s="21"/>
      <c r="CW51" s="21"/>
    </row>
    <row r="52" spans="1:101" ht="18" customHeight="1" x14ac:dyDescent="0.25">
      <c r="A52" s="46"/>
      <c r="B52" s="18" t="s">
        <v>102</v>
      </c>
      <c r="C52" s="19">
        <f t="shared" si="4"/>
        <v>32006.510000000006</v>
      </c>
      <c r="D52" s="23">
        <f>338.78*3</f>
        <v>1016.3399999999999</v>
      </c>
      <c r="E52" s="23"/>
      <c r="F52" s="24"/>
      <c r="G52" s="23"/>
      <c r="H52" s="24">
        <f>338.78*2</f>
        <v>677.56</v>
      </c>
      <c r="I52" s="23">
        <f>338.78*2</f>
        <v>677.56</v>
      </c>
      <c r="J52" s="23"/>
      <c r="K52" s="24"/>
      <c r="L52" s="24"/>
      <c r="M52" s="24">
        <f>337.35*2</f>
        <v>674.7</v>
      </c>
      <c r="N52" s="24">
        <f>337.35*2</f>
        <v>674.7</v>
      </c>
      <c r="O52" s="24">
        <f>337.73*3</f>
        <v>1013.19</v>
      </c>
      <c r="P52" s="47">
        <v>1024.2</v>
      </c>
      <c r="Q52" s="24"/>
      <c r="R52" s="24"/>
      <c r="S52" s="24"/>
      <c r="T52" s="24">
        <f>86.76+86.76</f>
        <v>173.52</v>
      </c>
      <c r="U52" s="23">
        <f>312.35*2</f>
        <v>624.70000000000005</v>
      </c>
      <c r="V52" s="23"/>
      <c r="W52" s="23"/>
      <c r="X52" s="23"/>
      <c r="Y52" s="23">
        <f>351.36</f>
        <v>351.36</v>
      </c>
      <c r="Z52" s="23"/>
      <c r="AA52" s="23">
        <f>510.52*2</f>
        <v>1021.04</v>
      </c>
      <c r="AB52" s="23"/>
      <c r="AC52" s="23"/>
      <c r="AD52" s="23"/>
      <c r="AE52" s="23"/>
      <c r="AF52" s="23"/>
      <c r="AG52" s="23">
        <f>311.09*3</f>
        <v>933.27</v>
      </c>
      <c r="AH52" s="23"/>
      <c r="AI52" s="23">
        <f>322.69*4</f>
        <v>1290.76</v>
      </c>
      <c r="AJ52" s="23"/>
      <c r="AK52" s="23"/>
      <c r="AL52" s="23"/>
      <c r="AM52" s="23"/>
      <c r="AN52" s="23"/>
      <c r="AO52" s="23"/>
      <c r="AP52" s="23">
        <f>311.09*3</f>
        <v>933.27</v>
      </c>
      <c r="AQ52" s="23"/>
      <c r="AR52" s="24"/>
      <c r="AS52" s="24"/>
      <c r="AT52" s="24">
        <f>338.78*4</f>
        <v>1355.12</v>
      </c>
      <c r="AU52" s="24">
        <f>338.78*3</f>
        <v>1016.3399999999999</v>
      </c>
      <c r="AV52" s="24"/>
      <c r="AW52" s="24">
        <f>338.78*2</f>
        <v>677.56</v>
      </c>
      <c r="AX52" s="24">
        <v>465.72</v>
      </c>
      <c r="AY52" s="24">
        <f>286.05*3</f>
        <v>858.15000000000009</v>
      </c>
      <c r="AZ52" s="24">
        <f>272.72*2</f>
        <v>545.44000000000005</v>
      </c>
      <c r="BA52" s="23"/>
      <c r="BB52" s="23"/>
      <c r="BC52" s="23">
        <f>338.78*2</f>
        <v>677.56</v>
      </c>
      <c r="BD52" s="23">
        <f>338.78*4</f>
        <v>1355.12</v>
      </c>
      <c r="BE52" s="23">
        <f>393.98*5</f>
        <v>1969.9</v>
      </c>
      <c r="BF52" s="23"/>
      <c r="BG52" s="23"/>
      <c r="BH52" s="23">
        <f>321.14*2</f>
        <v>642.28</v>
      </c>
      <c r="BI52" s="23">
        <v>2105.83</v>
      </c>
      <c r="BJ52" s="23"/>
      <c r="BK52" s="23">
        <f>329.59*3</f>
        <v>988.77</v>
      </c>
      <c r="BL52" s="23">
        <f>412.19*4</f>
        <v>1648.76</v>
      </c>
      <c r="BM52" s="23">
        <f>361.74*3</f>
        <v>1085.22</v>
      </c>
      <c r="BN52" s="23">
        <f>181.7*2</f>
        <v>363.4</v>
      </c>
      <c r="BO52" s="23">
        <v>1264.52</v>
      </c>
      <c r="BP52" s="23">
        <v>1194.77</v>
      </c>
      <c r="BQ52" s="23"/>
      <c r="BR52" s="23"/>
      <c r="BS52" s="24"/>
      <c r="BT52" s="24"/>
      <c r="BU52" s="23"/>
      <c r="BV52" s="23"/>
      <c r="BW52" s="23"/>
      <c r="BX52" s="24"/>
      <c r="BY52" s="24"/>
      <c r="BZ52" s="24"/>
      <c r="CA52" s="24">
        <v>1272.48</v>
      </c>
      <c r="CB52" s="24">
        <v>1433.4</v>
      </c>
      <c r="CC52" s="24"/>
      <c r="CD52" s="23"/>
      <c r="CE52" s="24"/>
      <c r="CF52" s="24"/>
      <c r="CG52" s="24"/>
      <c r="CH52" s="24"/>
      <c r="CI52" s="23"/>
      <c r="CJ52" s="23"/>
      <c r="CK52" s="24"/>
      <c r="CL52" s="24"/>
      <c r="CM52" s="23"/>
      <c r="CN52" s="23"/>
      <c r="CO52" s="23"/>
      <c r="CP52" s="23"/>
      <c r="CQ52" s="23"/>
      <c r="CR52" s="23"/>
      <c r="CS52" s="24"/>
      <c r="CT52" s="24"/>
      <c r="CU52" s="24"/>
      <c r="CV52" s="24"/>
      <c r="CW52" s="24"/>
    </row>
    <row r="53" spans="1:101" s="1" customFormat="1" x14ac:dyDescent="0.25">
      <c r="A53" s="52" t="s">
        <v>137</v>
      </c>
      <c r="B53" s="18" t="s">
        <v>106</v>
      </c>
      <c r="C53" s="28">
        <f t="shared" si="4"/>
        <v>14.78</v>
      </c>
      <c r="D53" s="20">
        <f>0.25*3</f>
        <v>0.75</v>
      </c>
      <c r="E53" s="20"/>
      <c r="F53" s="20"/>
      <c r="G53" s="30"/>
      <c r="H53" s="20">
        <f>0.25*2</f>
        <v>0.5</v>
      </c>
      <c r="I53" s="20">
        <f>0.25*2</f>
        <v>0.5</v>
      </c>
      <c r="J53" s="20"/>
      <c r="K53" s="20"/>
      <c r="L53" s="20"/>
      <c r="M53" s="20">
        <f>0.25*2</f>
        <v>0.5</v>
      </c>
      <c r="N53" s="20">
        <f>0.25*2</f>
        <v>0.5</v>
      </c>
      <c r="O53" s="20">
        <f>0.25*3</f>
        <v>0.75</v>
      </c>
      <c r="P53" s="20"/>
      <c r="Q53" s="20"/>
      <c r="R53" s="20"/>
      <c r="S53" s="20"/>
      <c r="T53" s="20">
        <f>0.215+0.215</f>
        <v>0.43</v>
      </c>
      <c r="U53" s="20">
        <f>0.13*2</f>
        <v>0.26</v>
      </c>
      <c r="V53" s="20"/>
      <c r="W53" s="20"/>
      <c r="X53" s="20"/>
      <c r="Y53" s="20">
        <v>9.9000000000000005E-2</v>
      </c>
      <c r="Z53" s="20"/>
      <c r="AA53" s="20">
        <f>0.015*2</f>
        <v>0.03</v>
      </c>
      <c r="AB53" s="20"/>
      <c r="AC53" s="20"/>
      <c r="AD53" s="20"/>
      <c r="AE53" s="20"/>
      <c r="AF53" s="20"/>
      <c r="AG53" s="20">
        <f>0.13*3</f>
        <v>0.39</v>
      </c>
      <c r="AH53" s="20"/>
      <c r="AI53" s="20">
        <f>0.109*4</f>
        <v>0.436</v>
      </c>
      <c r="AJ53" s="20"/>
      <c r="AK53" s="20"/>
      <c r="AL53" s="20"/>
      <c r="AM53" s="20"/>
      <c r="AN53" s="20"/>
      <c r="AO53" s="20"/>
      <c r="AP53" s="20">
        <f>0.13*3</f>
        <v>0.39</v>
      </c>
      <c r="AQ53" s="20"/>
      <c r="AR53" s="20"/>
      <c r="AS53" s="20"/>
      <c r="AT53" s="20">
        <f>0.25*4</f>
        <v>1</v>
      </c>
      <c r="AU53" s="20">
        <f>0.25*3</f>
        <v>0.75</v>
      </c>
      <c r="AV53" s="20"/>
      <c r="AW53" s="20">
        <f>0.25*2</f>
        <v>0.5</v>
      </c>
      <c r="AX53" s="20">
        <v>0.25600000000000001</v>
      </c>
      <c r="AY53" s="20">
        <f>0.262*3</f>
        <v>0.78600000000000003</v>
      </c>
      <c r="AZ53" s="20">
        <f>0.262*2</f>
        <v>0.52400000000000002</v>
      </c>
      <c r="BA53" s="23"/>
      <c r="BB53" s="20"/>
      <c r="BC53" s="20">
        <f>0.25*2</f>
        <v>0.5</v>
      </c>
      <c r="BD53" s="20">
        <f>0.25*4</f>
        <v>1</v>
      </c>
      <c r="BE53" s="20"/>
      <c r="BF53" s="20"/>
      <c r="BG53" s="20"/>
      <c r="BH53" s="20">
        <f>0.261*2</f>
        <v>0.52200000000000002</v>
      </c>
      <c r="BI53" s="20"/>
      <c r="BJ53" s="20"/>
      <c r="BK53" s="30">
        <f>0.256*3</f>
        <v>0.76800000000000002</v>
      </c>
      <c r="BL53" s="30">
        <f>0.258*3</f>
        <v>0.77400000000000002</v>
      </c>
      <c r="BM53" s="30">
        <f>0.259*3</f>
        <v>0.77700000000000002</v>
      </c>
      <c r="BN53" s="20">
        <f>0.022*2</f>
        <v>4.3999999999999997E-2</v>
      </c>
      <c r="BO53" s="20">
        <v>0.223</v>
      </c>
      <c r="BP53" s="20">
        <v>0.24299999999999999</v>
      </c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>
        <v>0.254</v>
      </c>
      <c r="CB53" s="20">
        <v>0.32400000000000001</v>
      </c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</row>
    <row r="54" spans="1:101" s="1" customFormat="1" ht="19.5" customHeight="1" x14ac:dyDescent="0.25">
      <c r="A54" s="53" t="s">
        <v>138</v>
      </c>
      <c r="B54" s="18" t="s">
        <v>102</v>
      </c>
      <c r="C54" s="19">
        <f t="shared" si="4"/>
        <v>4068.46</v>
      </c>
      <c r="D54" s="20">
        <f>62.83*3</f>
        <v>188.49</v>
      </c>
      <c r="E54" s="20"/>
      <c r="F54" s="20"/>
      <c r="G54" s="20"/>
      <c r="H54" s="20">
        <f>62.83*2</f>
        <v>125.66</v>
      </c>
      <c r="I54" s="20">
        <f>62.83*2</f>
        <v>125.66</v>
      </c>
      <c r="J54" s="20"/>
      <c r="K54" s="20"/>
      <c r="L54" s="20"/>
      <c r="M54" s="20">
        <f>62.83*2</f>
        <v>125.66</v>
      </c>
      <c r="N54" s="20">
        <f>62.83*2</f>
        <v>125.66</v>
      </c>
      <c r="O54" s="20">
        <f>67.3*3</f>
        <v>201.89999999999998</v>
      </c>
      <c r="P54" s="20"/>
      <c r="Q54" s="20"/>
      <c r="R54" s="20"/>
      <c r="S54" s="20"/>
      <c r="T54" s="20">
        <f>63.33+63.33</f>
        <v>126.66</v>
      </c>
      <c r="U54" s="20">
        <f>44.16*2</f>
        <v>88.32</v>
      </c>
      <c r="V54" s="20"/>
      <c r="W54" s="20"/>
      <c r="X54" s="20"/>
      <c r="Y54" s="20">
        <v>31.08</v>
      </c>
      <c r="Z54" s="20"/>
      <c r="AA54" s="20">
        <f>4.8*2</f>
        <v>9.6</v>
      </c>
      <c r="AB54" s="20"/>
      <c r="AC54" s="20"/>
      <c r="AD54" s="20"/>
      <c r="AE54" s="20"/>
      <c r="AF54" s="20"/>
      <c r="AG54" s="20">
        <f>41.12*3</f>
        <v>123.35999999999999</v>
      </c>
      <c r="AH54" s="20"/>
      <c r="AI54" s="20">
        <f>31.05*4</f>
        <v>124.2</v>
      </c>
      <c r="AJ54" s="20"/>
      <c r="AK54" s="20"/>
      <c r="AL54" s="20"/>
      <c r="AM54" s="20"/>
      <c r="AN54" s="20"/>
      <c r="AO54" s="20"/>
      <c r="AP54" s="20">
        <f>41.12*3</f>
        <v>123.35999999999999</v>
      </c>
      <c r="AQ54" s="20"/>
      <c r="AR54" s="20"/>
      <c r="AS54" s="20"/>
      <c r="AT54" s="20">
        <f>62.83*4</f>
        <v>251.32</v>
      </c>
      <c r="AU54" s="20">
        <f>62.83*3</f>
        <v>188.49</v>
      </c>
      <c r="AV54" s="20"/>
      <c r="AW54" s="20">
        <f>62.83*2</f>
        <v>125.66</v>
      </c>
      <c r="AX54" s="20">
        <v>80.3</v>
      </c>
      <c r="AY54" s="20">
        <f>75.13*3</f>
        <v>225.39</v>
      </c>
      <c r="AZ54" s="20">
        <f>75.13*2</f>
        <v>150.26</v>
      </c>
      <c r="BA54" s="23"/>
      <c r="BB54" s="20"/>
      <c r="BC54" s="20">
        <f>62.83*2</f>
        <v>125.66</v>
      </c>
      <c r="BD54" s="20">
        <f>62.83*4</f>
        <v>251.32</v>
      </c>
      <c r="BE54" s="20"/>
      <c r="BF54" s="20"/>
      <c r="BG54" s="20"/>
      <c r="BH54" s="20">
        <f>83.15*2</f>
        <v>166.3</v>
      </c>
      <c r="BI54" s="20"/>
      <c r="BJ54" s="20"/>
      <c r="BK54" s="20">
        <f>80.3*3</f>
        <v>240.89999999999998</v>
      </c>
      <c r="BL54" s="20">
        <f>81.11*3</f>
        <v>243.32999999999998</v>
      </c>
      <c r="BM54" s="20">
        <f>67.34*3</f>
        <v>202.02</v>
      </c>
      <c r="BN54" s="20">
        <f>7.11*2</f>
        <v>14.22</v>
      </c>
      <c r="BO54" s="20">
        <v>49.71</v>
      </c>
      <c r="BP54" s="20">
        <v>56.32</v>
      </c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>
        <v>71.58</v>
      </c>
      <c r="CB54" s="20">
        <v>106.07</v>
      </c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</row>
    <row r="55" spans="1:101" s="1" customFormat="1" x14ac:dyDescent="0.25">
      <c r="A55" s="52" t="s">
        <v>139</v>
      </c>
      <c r="B55" s="18" t="s">
        <v>106</v>
      </c>
      <c r="C55" s="28">
        <f t="shared" ref="C55:C60" si="11">SUM(D55:CV55)</f>
        <v>1.2021999999999999</v>
      </c>
      <c r="D55" s="30"/>
      <c r="E55" s="30"/>
      <c r="F55" s="30"/>
      <c r="G55" s="30"/>
      <c r="H55" s="30"/>
      <c r="I55" s="30"/>
      <c r="J55" s="30"/>
      <c r="K55" s="54"/>
      <c r="L55" s="30"/>
      <c r="M55" s="30"/>
      <c r="N55" s="30"/>
      <c r="O55" s="30"/>
      <c r="P55" s="54"/>
      <c r="Q55" s="30"/>
      <c r="R55" s="30"/>
      <c r="S55" s="30"/>
      <c r="T55" s="30"/>
      <c r="U55" s="30">
        <f>0.094*2</f>
        <v>0.188</v>
      </c>
      <c r="V55" s="20"/>
      <c r="W55" s="50"/>
      <c r="X55" s="20"/>
      <c r="Y55" s="20">
        <v>4.9000000000000002E-2</v>
      </c>
      <c r="Z55" s="20"/>
      <c r="AA55" s="20"/>
      <c r="AB55" s="20"/>
      <c r="AC55" s="20"/>
      <c r="AD55" s="20"/>
      <c r="AE55" s="20"/>
      <c r="AF55" s="20"/>
      <c r="AG55" s="30"/>
      <c r="AH55" s="20"/>
      <c r="AI55" s="50">
        <v>0.1116</v>
      </c>
      <c r="AJ55" s="55"/>
      <c r="AK55" s="20"/>
      <c r="AL55" s="30"/>
      <c r="AM55" s="20"/>
      <c r="AN55" s="20"/>
      <c r="AO55" s="30"/>
      <c r="AP55" s="30"/>
      <c r="AQ55" s="20"/>
      <c r="AR55" s="20"/>
      <c r="AS55" s="30"/>
      <c r="AT55" s="30">
        <f>0.024*6</f>
        <v>0.14400000000000002</v>
      </c>
      <c r="AU55" s="30">
        <f>0.024*3</f>
        <v>7.2000000000000008E-2</v>
      </c>
      <c r="AV55" s="23"/>
      <c r="AW55" s="30"/>
      <c r="AX55" s="30"/>
      <c r="AY55" s="30">
        <v>2.4E-2</v>
      </c>
      <c r="AZ55" s="30"/>
      <c r="BA55" s="23"/>
      <c r="BB55" s="23"/>
      <c r="BC55" s="20"/>
      <c r="BD55" s="20"/>
      <c r="BE55" s="20">
        <v>0.38</v>
      </c>
      <c r="BF55" s="20"/>
      <c r="BG55" s="20"/>
      <c r="BH55" s="30">
        <v>2.4E-2</v>
      </c>
      <c r="BI55" s="20"/>
      <c r="BJ55" s="20">
        <v>3.7400000000000003E-2</v>
      </c>
      <c r="BK55" s="20"/>
      <c r="BL55" s="30">
        <f>0.024*4</f>
        <v>9.6000000000000002E-2</v>
      </c>
      <c r="BM55" s="30">
        <f>0.0204*3</f>
        <v>6.1200000000000004E-2</v>
      </c>
      <c r="BN55" s="30"/>
      <c r="BO55" s="20"/>
      <c r="BP55" s="20"/>
      <c r="BQ55" s="20"/>
      <c r="BR55" s="20"/>
      <c r="BS55" s="20"/>
      <c r="BT55" s="20"/>
      <c r="BU55" s="30"/>
      <c r="BV55" s="20"/>
      <c r="BW55" s="20"/>
      <c r="BX55" s="20"/>
      <c r="BY55" s="20"/>
      <c r="BZ55" s="20"/>
      <c r="CA55" s="20"/>
      <c r="CB55" s="20">
        <v>1.4999999999999999E-2</v>
      </c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</row>
    <row r="56" spans="1:101" s="1" customFormat="1" x14ac:dyDescent="0.25">
      <c r="A56" s="52" t="s">
        <v>140</v>
      </c>
      <c r="B56" s="18" t="s">
        <v>141</v>
      </c>
      <c r="C56" s="19">
        <f t="shared" si="11"/>
        <v>7077.3450000000003</v>
      </c>
      <c r="D56" s="25"/>
      <c r="E56" s="25"/>
      <c r="F56" s="25"/>
      <c r="G56" s="25"/>
      <c r="H56" s="25"/>
      <c r="I56" s="25"/>
      <c r="J56" s="25"/>
      <c r="K56" s="23"/>
      <c r="L56" s="25"/>
      <c r="M56" s="25"/>
      <c r="N56" s="25"/>
      <c r="O56" s="23"/>
      <c r="P56" s="23"/>
      <c r="Q56" s="25"/>
      <c r="R56" s="25"/>
      <c r="S56" s="30"/>
      <c r="T56" s="23"/>
      <c r="U56" s="20">
        <f>488.86*2</f>
        <v>977.72</v>
      </c>
      <c r="V56" s="20"/>
      <c r="W56" s="20"/>
      <c r="X56" s="20"/>
      <c r="Y56" s="20">
        <v>213.35499999999999</v>
      </c>
      <c r="Z56" s="20"/>
      <c r="AA56" s="20"/>
      <c r="AB56" s="20"/>
      <c r="AC56" s="23"/>
      <c r="AD56" s="20"/>
      <c r="AE56" s="20"/>
      <c r="AF56" s="20"/>
      <c r="AG56" s="20"/>
      <c r="AH56" s="20"/>
      <c r="AI56" s="20">
        <v>728.61699999999996</v>
      </c>
      <c r="AJ56" s="20"/>
      <c r="AK56" s="20"/>
      <c r="AL56" s="20"/>
      <c r="AM56" s="20"/>
      <c r="AN56" s="20"/>
      <c r="AO56" s="23"/>
      <c r="AP56" s="20"/>
      <c r="AQ56" s="20"/>
      <c r="AR56" s="20"/>
      <c r="AS56" s="23"/>
      <c r="AT56" s="23">
        <f>155.47*4</f>
        <v>621.88</v>
      </c>
      <c r="AU56" s="23">
        <f>155.47*2</f>
        <v>310.94</v>
      </c>
      <c r="AV56" s="23"/>
      <c r="AW56" s="23"/>
      <c r="AX56" s="23"/>
      <c r="AY56" s="23">
        <v>155.47300000000001</v>
      </c>
      <c r="AZ56" s="23"/>
      <c r="BA56" s="23"/>
      <c r="BB56" s="23"/>
      <c r="BC56" s="23"/>
      <c r="BD56" s="23"/>
      <c r="BE56" s="23">
        <f>186.96*13</f>
        <v>2430.48</v>
      </c>
      <c r="BF56" s="20"/>
      <c r="BG56" s="23"/>
      <c r="BH56" s="23">
        <v>155.47</v>
      </c>
      <c r="BI56" s="23"/>
      <c r="BJ56" s="23">
        <v>293.99</v>
      </c>
      <c r="BK56" s="23"/>
      <c r="BL56" s="23">
        <f>155.47*4</f>
        <v>621.88</v>
      </c>
      <c r="BM56" s="23">
        <f>157.38*3</f>
        <v>472.14</v>
      </c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>
        <v>95.4</v>
      </c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3"/>
      <c r="CV56" s="20"/>
      <c r="CW56" s="20"/>
    </row>
    <row r="57" spans="1:101" s="1" customFormat="1" hidden="1" x14ac:dyDescent="0.25">
      <c r="A57" s="123" t="s">
        <v>142</v>
      </c>
      <c r="B57" s="56" t="s">
        <v>121</v>
      </c>
      <c r="C57" s="19">
        <f t="shared" si="11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0"/>
      <c r="T57" s="25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0"/>
      <c r="BD57" s="20"/>
      <c r="BE57" s="20"/>
      <c r="BF57" s="20"/>
      <c r="BG57" s="23"/>
      <c r="BH57" s="20"/>
      <c r="BI57" s="30"/>
      <c r="BJ57" s="3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</row>
    <row r="58" spans="1:101" s="1" customFormat="1" hidden="1" x14ac:dyDescent="0.25">
      <c r="A58" s="123"/>
      <c r="B58" s="56" t="s">
        <v>102</v>
      </c>
      <c r="C58" s="19">
        <f t="shared" si="11"/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0"/>
      <c r="T58" s="25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0"/>
      <c r="BD58" s="20"/>
      <c r="BE58" s="20"/>
      <c r="BF58" s="20"/>
      <c r="BG58" s="23"/>
      <c r="BH58" s="20"/>
      <c r="BI58" s="30"/>
      <c r="BJ58" s="3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</row>
    <row r="59" spans="1:101" s="1" customFormat="1" hidden="1" x14ac:dyDescent="0.25">
      <c r="A59" s="57" t="s">
        <v>143</v>
      </c>
      <c r="B59" s="21" t="s">
        <v>121</v>
      </c>
      <c r="C59" s="19">
        <f t="shared" si="11"/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0"/>
      <c r="T59" s="25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0"/>
      <c r="BD59" s="20"/>
      <c r="BE59" s="20"/>
      <c r="BF59" s="20"/>
      <c r="BG59" s="23"/>
      <c r="BH59" s="20"/>
      <c r="BI59" s="30"/>
      <c r="BJ59" s="3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</row>
    <row r="60" spans="1:101" s="1" customFormat="1" hidden="1" x14ac:dyDescent="0.25">
      <c r="A60" s="57" t="s">
        <v>144</v>
      </c>
      <c r="B60" s="21" t="s">
        <v>102</v>
      </c>
      <c r="C60" s="19">
        <f t="shared" si="11"/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0"/>
      <c r="T60" s="25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0"/>
      <c r="BD60" s="20"/>
      <c r="BE60" s="20"/>
      <c r="BF60" s="20"/>
      <c r="BG60" s="23"/>
      <c r="BH60" s="20"/>
      <c r="BI60" s="30"/>
      <c r="BJ60" s="3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</row>
    <row r="61" spans="1:101" x14ac:dyDescent="0.25">
      <c r="A61" s="46" t="s">
        <v>145</v>
      </c>
      <c r="B61" s="18" t="s">
        <v>132</v>
      </c>
      <c r="C61" s="28">
        <f t="shared" si="4"/>
        <v>0.2868</v>
      </c>
      <c r="D61" s="29">
        <v>8.0000000000000002E-3</v>
      </c>
      <c r="E61" s="30"/>
      <c r="F61" s="27"/>
      <c r="G61" s="30"/>
      <c r="H61" s="27"/>
      <c r="I61" s="30">
        <v>0.18</v>
      </c>
      <c r="J61" s="30"/>
      <c r="K61" s="27"/>
      <c r="L61" s="27">
        <v>4.0000000000000001E-3</v>
      </c>
      <c r="M61" s="27"/>
      <c r="N61" s="27"/>
      <c r="O61" s="27"/>
      <c r="P61" s="30"/>
      <c r="Q61" s="20"/>
      <c r="R61" s="27"/>
      <c r="S61" s="27"/>
      <c r="T61" s="27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21"/>
      <c r="AS61" s="23"/>
      <c r="AT61" s="24">
        <v>6.3E-3</v>
      </c>
      <c r="AU61" s="27"/>
      <c r="AV61" s="30">
        <v>2.5999999999999999E-2</v>
      </c>
      <c r="AW61" s="27"/>
      <c r="AX61" s="27"/>
      <c r="AY61" s="27"/>
      <c r="AZ61" s="27"/>
      <c r="BA61" s="30"/>
      <c r="BB61" s="30"/>
      <c r="BC61" s="20">
        <v>3.7999999999999999E-2</v>
      </c>
      <c r="BD61" s="20"/>
      <c r="BE61" s="20"/>
      <c r="BF61" s="20">
        <v>4.0000000000000001E-3</v>
      </c>
      <c r="BG61" s="20"/>
      <c r="BH61" s="20"/>
      <c r="BI61" s="20"/>
      <c r="BJ61" s="20"/>
      <c r="BK61" s="20">
        <v>7.4999999999999997E-3</v>
      </c>
      <c r="BL61" s="20"/>
      <c r="BM61" s="20"/>
      <c r="BN61" s="20"/>
      <c r="BO61" s="21"/>
      <c r="BP61" s="20"/>
      <c r="BQ61" s="20"/>
      <c r="BR61" s="20"/>
      <c r="BS61" s="21"/>
      <c r="BT61" s="21"/>
      <c r="BU61" s="20"/>
      <c r="BV61" s="20"/>
      <c r="BW61" s="20"/>
      <c r="BX61" s="21"/>
      <c r="BY61" s="21"/>
      <c r="BZ61" s="21"/>
      <c r="CA61" s="21"/>
      <c r="CB61" s="21"/>
      <c r="CC61" s="21"/>
      <c r="CD61" s="20"/>
      <c r="CE61" s="21"/>
      <c r="CF61" s="21"/>
      <c r="CG61" s="21"/>
      <c r="CH61" s="21"/>
      <c r="CI61" s="20"/>
      <c r="CJ61" s="20"/>
      <c r="CK61" s="21"/>
      <c r="CL61" s="20"/>
      <c r="CM61" s="20"/>
      <c r="CN61" s="20"/>
      <c r="CO61" s="20"/>
      <c r="CP61" s="20"/>
      <c r="CQ61" s="20">
        <v>1.2999999999999999E-2</v>
      </c>
      <c r="CR61" s="20"/>
      <c r="CS61" s="21"/>
      <c r="CT61" s="21"/>
      <c r="CU61" s="21"/>
      <c r="CV61" s="21"/>
      <c r="CW61" s="21"/>
    </row>
    <row r="62" spans="1:101" x14ac:dyDescent="0.25">
      <c r="A62" s="17"/>
      <c r="B62" s="18" t="s">
        <v>102</v>
      </c>
      <c r="C62" s="19">
        <f t="shared" si="4"/>
        <v>987.55</v>
      </c>
      <c r="D62" s="23">
        <v>43.3</v>
      </c>
      <c r="E62" s="20"/>
      <c r="F62" s="20"/>
      <c r="G62" s="20"/>
      <c r="H62" s="20"/>
      <c r="I62" s="23">
        <v>587.15</v>
      </c>
      <c r="J62" s="20"/>
      <c r="K62" s="20"/>
      <c r="L62" s="20">
        <v>10.97</v>
      </c>
      <c r="M62" s="20"/>
      <c r="N62" s="20"/>
      <c r="O62" s="20"/>
      <c r="P62" s="20"/>
      <c r="Q62" s="20"/>
      <c r="R62" s="20"/>
      <c r="S62" s="20"/>
      <c r="T62" s="22"/>
      <c r="U62" s="23"/>
      <c r="V62" s="23"/>
      <c r="W62" s="23"/>
      <c r="X62" s="23"/>
      <c r="Y62" s="23"/>
      <c r="Z62" s="23"/>
      <c r="AA62" s="23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3"/>
      <c r="AQ62" s="20"/>
      <c r="AR62" s="21"/>
      <c r="AS62" s="23"/>
      <c r="AT62" s="23">
        <v>18.29</v>
      </c>
      <c r="AU62" s="23"/>
      <c r="AV62" s="23">
        <v>151.55000000000001</v>
      </c>
      <c r="AW62" s="23"/>
      <c r="AX62" s="23"/>
      <c r="AY62" s="30"/>
      <c r="AZ62" s="23"/>
      <c r="BA62" s="23"/>
      <c r="BB62" s="23"/>
      <c r="BC62" s="23">
        <v>116.49</v>
      </c>
      <c r="BD62" s="23"/>
      <c r="BE62" s="23"/>
      <c r="BF62" s="23">
        <v>10.97</v>
      </c>
      <c r="BG62" s="23"/>
      <c r="BH62" s="23"/>
      <c r="BI62" s="23"/>
      <c r="BJ62" s="23"/>
      <c r="BK62" s="23">
        <v>15.42</v>
      </c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>
        <v>33.409999999999997</v>
      </c>
      <c r="CR62" s="23"/>
      <c r="CS62" s="23"/>
      <c r="CT62" s="23"/>
      <c r="CU62" s="23"/>
      <c r="CV62" s="23"/>
      <c r="CW62" s="23"/>
    </row>
    <row r="63" spans="1:101" x14ac:dyDescent="0.25">
      <c r="A63" s="123" t="s">
        <v>146</v>
      </c>
      <c r="B63" s="18" t="s">
        <v>121</v>
      </c>
      <c r="C63" s="36">
        <f t="shared" si="4"/>
        <v>95</v>
      </c>
      <c r="D63" s="20"/>
      <c r="E63" s="20"/>
      <c r="F63" s="21"/>
      <c r="G63" s="20"/>
      <c r="H63" s="21"/>
      <c r="I63" s="20"/>
      <c r="J63" s="20"/>
      <c r="K63" s="21"/>
      <c r="L63" s="21"/>
      <c r="M63" s="21"/>
      <c r="N63" s="21"/>
      <c r="O63" s="21"/>
      <c r="P63" s="20"/>
      <c r="Q63" s="21"/>
      <c r="R63" s="21"/>
      <c r="S63" s="21"/>
      <c r="T63" s="21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1"/>
      <c r="AS63" s="38"/>
      <c r="AT63" s="39"/>
      <c r="AU63" s="39"/>
      <c r="AV63" s="38"/>
      <c r="AW63" s="39"/>
      <c r="AX63" s="38">
        <v>40</v>
      </c>
      <c r="AY63" s="38">
        <v>10</v>
      </c>
      <c r="AZ63" s="38">
        <v>10</v>
      </c>
      <c r="BA63" s="38">
        <v>15</v>
      </c>
      <c r="BB63" s="38"/>
      <c r="BC63" s="20"/>
      <c r="BD63" s="20"/>
      <c r="BE63" s="20"/>
      <c r="BF63" s="20">
        <v>10</v>
      </c>
      <c r="BG63" s="20">
        <v>10</v>
      </c>
      <c r="BH63" s="20"/>
      <c r="BI63" s="20"/>
      <c r="BJ63" s="20"/>
      <c r="BK63" s="20"/>
      <c r="BL63" s="20"/>
      <c r="BM63" s="20"/>
      <c r="BN63" s="20"/>
      <c r="BO63" s="21"/>
      <c r="BP63" s="20"/>
      <c r="BQ63" s="20"/>
      <c r="BR63" s="20"/>
      <c r="BS63" s="21"/>
      <c r="BT63" s="21"/>
      <c r="BU63" s="20"/>
      <c r="BV63" s="20"/>
      <c r="BW63" s="20"/>
      <c r="BX63" s="21"/>
      <c r="BY63" s="20"/>
      <c r="BZ63" s="20"/>
      <c r="CA63" s="21"/>
      <c r="CB63" s="21"/>
      <c r="CC63" s="21"/>
      <c r="CD63" s="20"/>
      <c r="CE63" s="21"/>
      <c r="CF63" s="21"/>
      <c r="CG63" s="21"/>
      <c r="CH63" s="21"/>
      <c r="CI63" s="20"/>
      <c r="CJ63" s="20"/>
      <c r="CK63" s="21"/>
      <c r="CL63" s="21"/>
      <c r="CM63" s="20"/>
      <c r="CN63" s="20"/>
      <c r="CO63" s="20"/>
      <c r="CP63" s="20"/>
      <c r="CQ63" s="20"/>
      <c r="CR63" s="21"/>
      <c r="CS63" s="21"/>
      <c r="CT63" s="21"/>
      <c r="CU63" s="20"/>
      <c r="CV63" s="21"/>
      <c r="CW63" s="21"/>
    </row>
    <row r="64" spans="1:101" x14ac:dyDescent="0.25">
      <c r="A64" s="123"/>
      <c r="B64" s="18" t="s">
        <v>102</v>
      </c>
      <c r="C64" s="19">
        <f t="shared" si="4"/>
        <v>144.35000000000002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58"/>
      <c r="V64" s="23"/>
      <c r="W64" s="59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>
        <f>0.81*40</f>
        <v>32.400000000000006</v>
      </c>
      <c r="AY64" s="23">
        <f>0.81*10</f>
        <v>8.1000000000000014</v>
      </c>
      <c r="AZ64" s="23">
        <f>0.81*10</f>
        <v>8.1000000000000014</v>
      </c>
      <c r="BA64" s="23">
        <f>0.81*15</f>
        <v>12.15</v>
      </c>
      <c r="BB64" s="30"/>
      <c r="BC64" s="23"/>
      <c r="BD64" s="23"/>
      <c r="BE64" s="23"/>
      <c r="BF64" s="23">
        <f>4.18*10</f>
        <v>41.8</v>
      </c>
      <c r="BG64" s="23">
        <f>4.18*10</f>
        <v>41.8</v>
      </c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59"/>
      <c r="BZ64" s="23"/>
      <c r="CA64" s="23"/>
      <c r="CB64" s="23"/>
      <c r="CC64" s="23"/>
      <c r="CD64" s="23"/>
      <c r="CE64" s="23"/>
      <c r="CF64" s="59"/>
      <c r="CG64" s="23"/>
      <c r="CH64" s="24"/>
      <c r="CI64" s="23"/>
      <c r="CJ64" s="23"/>
      <c r="CK64" s="23"/>
      <c r="CL64" s="59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</row>
    <row r="65" spans="1:101" ht="22.5" customHeight="1" x14ac:dyDescent="0.25">
      <c r="A65" s="46" t="s">
        <v>147</v>
      </c>
      <c r="B65" s="18" t="s">
        <v>121</v>
      </c>
      <c r="C65" s="36">
        <f t="shared" si="4"/>
        <v>90</v>
      </c>
      <c r="D65" s="47"/>
      <c r="E65" s="60"/>
      <c r="F65" s="20">
        <v>2</v>
      </c>
      <c r="G65" s="20">
        <v>1</v>
      </c>
      <c r="H65" s="20"/>
      <c r="I65" s="61"/>
      <c r="J65" s="21"/>
      <c r="K65" s="20"/>
      <c r="L65" s="60"/>
      <c r="M65" s="20"/>
      <c r="N65" s="20"/>
      <c r="O65" s="20"/>
      <c r="P65" s="20"/>
      <c r="Q65" s="60"/>
      <c r="R65" s="60">
        <v>4</v>
      </c>
      <c r="S65" s="20"/>
      <c r="T65" s="20">
        <f>1+1</f>
        <v>2</v>
      </c>
      <c r="U65" s="20"/>
      <c r="V65" s="20"/>
      <c r="W65" s="20"/>
      <c r="X65" s="20"/>
      <c r="Y65" s="20"/>
      <c r="Z65" s="20"/>
      <c r="AA65" s="20"/>
      <c r="AB65" s="62"/>
      <c r="AC65" s="20">
        <v>1</v>
      </c>
      <c r="AD65" s="20"/>
      <c r="AE65" s="20">
        <f>2+6</f>
        <v>8</v>
      </c>
      <c r="AF65" s="20"/>
      <c r="AG65" s="20"/>
      <c r="AH65" s="38">
        <v>2</v>
      </c>
      <c r="AI65" s="20"/>
      <c r="AJ65" s="20">
        <v>2</v>
      </c>
      <c r="AK65" s="20"/>
      <c r="AL65" s="20"/>
      <c r="AM65" s="20"/>
      <c r="AN65" s="20"/>
      <c r="AO65" s="20"/>
      <c r="AP65" s="20">
        <v>2</v>
      </c>
      <c r="AQ65" s="20"/>
      <c r="AR65" s="20"/>
      <c r="AS65" s="38">
        <v>2</v>
      </c>
      <c r="AT65" s="38">
        <f>1+3</f>
        <v>4</v>
      </c>
      <c r="AU65" s="20">
        <v>3</v>
      </c>
      <c r="AV65" s="38"/>
      <c r="AW65" s="38">
        <v>1</v>
      </c>
      <c r="AX65" s="38">
        <v>1</v>
      </c>
      <c r="AY65" s="38">
        <v>4</v>
      </c>
      <c r="AZ65" s="20">
        <v>1</v>
      </c>
      <c r="BA65" s="38"/>
      <c r="BB65" s="38"/>
      <c r="BC65" s="20"/>
      <c r="BD65" s="20"/>
      <c r="BE65" s="20"/>
      <c r="BF65" s="20">
        <v>3</v>
      </c>
      <c r="BG65" s="60"/>
      <c r="BH65" s="60"/>
      <c r="BI65" s="60">
        <v>6</v>
      </c>
      <c r="BJ65" s="20"/>
      <c r="BK65" s="20">
        <v>2</v>
      </c>
      <c r="BL65" s="20"/>
      <c r="BM65" s="20"/>
      <c r="BN65" s="20"/>
      <c r="BO65" s="20"/>
      <c r="BP65" s="20"/>
      <c r="BQ65" s="20">
        <v>11</v>
      </c>
      <c r="BR65" s="20"/>
      <c r="BS65" s="20"/>
      <c r="BT65" s="20">
        <v>12</v>
      </c>
      <c r="BU65" s="20"/>
      <c r="BV65" s="20"/>
      <c r="BW65" s="20"/>
      <c r="BX65" s="20"/>
      <c r="BY65" s="20"/>
      <c r="BZ65" s="20"/>
      <c r="CA65" s="20">
        <v>2</v>
      </c>
      <c r="CB65" s="20"/>
      <c r="CC65" s="20"/>
      <c r="CD65" s="60"/>
      <c r="CE65" s="60"/>
      <c r="CF65" s="20"/>
      <c r="CG65" s="20"/>
      <c r="CH65" s="20"/>
      <c r="CI65" s="20"/>
      <c r="CJ65" s="20"/>
      <c r="CK65" s="20"/>
      <c r="CL65" s="20"/>
      <c r="CM65" s="20"/>
      <c r="CN65" s="20"/>
      <c r="CO65" s="20">
        <v>2</v>
      </c>
      <c r="CP65" s="20">
        <f>2+6</f>
        <v>8</v>
      </c>
      <c r="CQ65" s="20">
        <f>2+2</f>
        <v>4</v>
      </c>
      <c r="CR65" s="20"/>
      <c r="CS65" s="20"/>
      <c r="CT65" s="20"/>
      <c r="CU65" s="20"/>
      <c r="CV65" s="20"/>
      <c r="CW65" s="20"/>
    </row>
    <row r="66" spans="1:101" x14ac:dyDescent="0.25">
      <c r="A66" s="17"/>
      <c r="B66" s="18" t="s">
        <v>102</v>
      </c>
      <c r="C66" s="19">
        <f t="shared" si="4"/>
        <v>3754.7200000000003</v>
      </c>
      <c r="D66" s="59"/>
      <c r="E66" s="23"/>
      <c r="F66" s="23">
        <f>72.16*F65</f>
        <v>144.32</v>
      </c>
      <c r="G66" s="23">
        <v>52.23</v>
      </c>
      <c r="H66" s="23"/>
      <c r="I66" s="59"/>
      <c r="J66" s="23"/>
      <c r="K66" s="23"/>
      <c r="L66" s="23"/>
      <c r="M66" s="23"/>
      <c r="N66" s="23"/>
      <c r="O66" s="23"/>
      <c r="P66" s="23"/>
      <c r="Q66" s="63"/>
      <c r="R66" s="23">
        <f>72.16*2+45.3*2</f>
        <v>234.92</v>
      </c>
      <c r="S66" s="30"/>
      <c r="T66" s="23">
        <f>81.61+81.61</f>
        <v>163.22</v>
      </c>
      <c r="U66" s="59"/>
      <c r="V66" s="23"/>
      <c r="W66" s="23"/>
      <c r="X66" s="23"/>
      <c r="Y66" s="23"/>
      <c r="Z66" s="23"/>
      <c r="AA66" s="23"/>
      <c r="AB66" s="23"/>
      <c r="AC66" s="23">
        <v>34.630000000000003</v>
      </c>
      <c r="AD66" s="23"/>
      <c r="AE66" s="23">
        <f>72.23+191.34</f>
        <v>263.57</v>
      </c>
      <c r="AF66" s="23"/>
      <c r="AG66" s="23"/>
      <c r="AH66" s="23">
        <f>59.39*2</f>
        <v>118.78</v>
      </c>
      <c r="AI66" s="23"/>
      <c r="AJ66" s="23">
        <v>80.44</v>
      </c>
      <c r="AK66" s="23"/>
      <c r="AL66" s="23"/>
      <c r="AM66" s="23"/>
      <c r="AN66" s="23"/>
      <c r="AO66" s="23"/>
      <c r="AP66" s="23">
        <f>40.99+40.76</f>
        <v>81.75</v>
      </c>
      <c r="AQ66" s="23"/>
      <c r="AR66" s="23"/>
      <c r="AS66" s="23">
        <f>59.39*2</f>
        <v>118.78</v>
      </c>
      <c r="AT66" s="23">
        <f>59.39+45.47*3</f>
        <v>195.8</v>
      </c>
      <c r="AU66" s="23">
        <f>3*45.47</f>
        <v>136.41</v>
      </c>
      <c r="AV66" s="23"/>
      <c r="AW66" s="23">
        <v>59.39</v>
      </c>
      <c r="AX66" s="23">
        <v>59.39</v>
      </c>
      <c r="AY66" s="23">
        <f>55.9*AY65</f>
        <v>223.6</v>
      </c>
      <c r="AZ66" s="23">
        <v>52.23</v>
      </c>
      <c r="BA66" s="23"/>
      <c r="BB66" s="30"/>
      <c r="BC66" s="23"/>
      <c r="BD66" s="23"/>
      <c r="BE66" s="23"/>
      <c r="BF66" s="23">
        <f>45.47*2+59.39</f>
        <v>150.32999999999998</v>
      </c>
      <c r="BG66" s="23"/>
      <c r="BH66" s="23"/>
      <c r="BI66" s="23">
        <f>41.15*BI65</f>
        <v>246.89999999999998</v>
      </c>
      <c r="BJ66" s="23"/>
      <c r="BK66" s="23">
        <f>2*45.47</f>
        <v>90.94</v>
      </c>
      <c r="BL66" s="23"/>
      <c r="BM66" s="59"/>
      <c r="BN66" s="20"/>
      <c r="BO66" s="23"/>
      <c r="BP66" s="23"/>
      <c r="BQ66" s="23">
        <f>52.03*BQ65</f>
        <v>572.33000000000004</v>
      </c>
      <c r="BR66" s="23"/>
      <c r="BS66" s="59"/>
      <c r="BT66" s="23">
        <f>31.95*BT65</f>
        <v>383.4</v>
      </c>
      <c r="BU66" s="23"/>
      <c r="BV66" s="23"/>
      <c r="BW66" s="23"/>
      <c r="BX66" s="23"/>
      <c r="BY66" s="23"/>
      <c r="BZ66" s="23"/>
      <c r="CA66" s="59">
        <v>101.78</v>
      </c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63">
        <f>1.48*2</f>
        <v>2.96</v>
      </c>
      <c r="CP66" s="23">
        <f>87.39+1.48*6</f>
        <v>96.27</v>
      </c>
      <c r="CQ66" s="23">
        <f>87.39+1.48*2</f>
        <v>90.35</v>
      </c>
      <c r="CR66" s="23"/>
      <c r="CS66" s="23"/>
      <c r="CT66" s="23"/>
      <c r="CU66" s="23"/>
      <c r="CV66" s="23"/>
      <c r="CW66" s="23"/>
    </row>
    <row r="67" spans="1:101" x14ac:dyDescent="0.25">
      <c r="A67" s="46" t="s">
        <v>148</v>
      </c>
      <c r="B67" s="18" t="s">
        <v>121</v>
      </c>
      <c r="C67" s="36">
        <f t="shared" si="4"/>
        <v>107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1"/>
      <c r="S67" s="21"/>
      <c r="T67" s="21">
        <v>2</v>
      </c>
      <c r="U67" s="20"/>
      <c r="V67" s="20"/>
      <c r="W67" s="20"/>
      <c r="X67" s="20"/>
      <c r="Y67" s="20"/>
      <c r="Z67" s="20"/>
      <c r="AA67" s="20"/>
      <c r="AB67" s="20"/>
      <c r="AC67" s="20"/>
      <c r="AD67" s="64">
        <v>11</v>
      </c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1"/>
      <c r="AS67" s="38"/>
      <c r="AT67" s="38"/>
      <c r="AU67" s="38"/>
      <c r="AV67" s="38"/>
      <c r="AW67" s="38"/>
      <c r="AX67" s="38">
        <v>10</v>
      </c>
      <c r="AY67" s="38">
        <v>27</v>
      </c>
      <c r="AZ67" s="38">
        <v>10</v>
      </c>
      <c r="BA67" s="38">
        <v>15</v>
      </c>
      <c r="BB67" s="63">
        <v>13</v>
      </c>
      <c r="BC67" s="60"/>
      <c r="BD67" s="63"/>
      <c r="BE67" s="63"/>
      <c r="BF67" s="60"/>
      <c r="BG67" s="20">
        <v>17</v>
      </c>
      <c r="BH67" s="60"/>
      <c r="BI67" s="20"/>
      <c r="BJ67" s="20"/>
      <c r="BK67" s="60"/>
      <c r="BL67" s="60"/>
      <c r="BM67" s="20"/>
      <c r="BN67" s="60"/>
      <c r="BO67" s="60"/>
      <c r="BP67" s="63"/>
      <c r="BQ67" s="20"/>
      <c r="BR67" s="63"/>
      <c r="BS67" s="60"/>
      <c r="BT67" s="21"/>
      <c r="BU67" s="60"/>
      <c r="BV67" s="63"/>
      <c r="BW67" s="63"/>
      <c r="BX67" s="21"/>
      <c r="BY67" s="60"/>
      <c r="BZ67" s="60"/>
      <c r="CA67" s="60">
        <v>2</v>
      </c>
      <c r="CB67" s="60"/>
      <c r="CC67" s="60"/>
      <c r="CD67" s="60"/>
      <c r="CE67" s="21"/>
      <c r="CF67" s="21"/>
      <c r="CG67" s="21"/>
      <c r="CH67" s="21"/>
      <c r="CI67" s="20"/>
      <c r="CJ67" s="20"/>
      <c r="CK67" s="21"/>
      <c r="CL67" s="21"/>
      <c r="CM67" s="20"/>
      <c r="CN67" s="20"/>
      <c r="CO67" s="20"/>
      <c r="CP67" s="20"/>
      <c r="CQ67" s="20"/>
      <c r="CR67" s="20"/>
      <c r="CS67" s="21"/>
      <c r="CT67" s="21"/>
      <c r="CU67" s="21"/>
      <c r="CV67" s="21"/>
      <c r="CW67" s="21"/>
    </row>
    <row r="68" spans="1:101" x14ac:dyDescent="0.25">
      <c r="A68" s="46" t="s">
        <v>149</v>
      </c>
      <c r="B68" s="18" t="s">
        <v>102</v>
      </c>
      <c r="C68" s="19">
        <f t="shared" si="4"/>
        <v>1937.6699999999998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v>38.82</v>
      </c>
      <c r="U68" s="58"/>
      <c r="V68" s="23"/>
      <c r="W68" s="23"/>
      <c r="X68" s="23"/>
      <c r="Y68" s="23"/>
      <c r="Z68" s="23"/>
      <c r="AA68" s="23"/>
      <c r="AB68" s="23"/>
      <c r="AC68" s="23"/>
      <c r="AD68" s="64">
        <v>257.23</v>
      </c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4"/>
      <c r="AS68" s="23"/>
      <c r="AT68" s="23"/>
      <c r="AU68" s="23"/>
      <c r="AV68" s="23"/>
      <c r="AW68" s="23"/>
      <c r="AX68" s="23">
        <f>0.71*10</f>
        <v>7.1</v>
      </c>
      <c r="AY68" s="23">
        <v>991.04</v>
      </c>
      <c r="AZ68" s="23">
        <f>0.71*10</f>
        <v>7.1</v>
      </c>
      <c r="BA68" s="30">
        <f>4.18*15</f>
        <v>62.699999999999996</v>
      </c>
      <c r="BB68" s="23">
        <v>320.31</v>
      </c>
      <c r="BC68" s="23"/>
      <c r="BD68" s="23"/>
      <c r="BE68" s="23"/>
      <c r="BF68" s="23"/>
      <c r="BG68" s="23">
        <v>235.04</v>
      </c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>
        <v>18.329999999999998</v>
      </c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</row>
    <row r="69" spans="1:101" s="1" customFormat="1" x14ac:dyDescent="0.25">
      <c r="A69" s="53" t="s">
        <v>150</v>
      </c>
      <c r="B69" s="18" t="s">
        <v>121</v>
      </c>
      <c r="C69" s="36">
        <f t="shared" si="4"/>
        <v>45</v>
      </c>
      <c r="D69" s="20"/>
      <c r="E69" s="65"/>
      <c r="F69" s="65"/>
      <c r="G69" s="38"/>
      <c r="H69" s="38"/>
      <c r="I69" s="38"/>
      <c r="J69" s="20"/>
      <c r="K69" s="20"/>
      <c r="L69" s="20"/>
      <c r="M69" s="38"/>
      <c r="N69" s="38"/>
      <c r="O69" s="20"/>
      <c r="P69" s="20"/>
      <c r="Q69" s="20"/>
      <c r="R69" s="20"/>
      <c r="S69" s="20"/>
      <c r="T69" s="20"/>
      <c r="U69" s="20"/>
      <c r="V69" s="65"/>
      <c r="W69" s="65"/>
      <c r="X69" s="65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38">
        <v>3</v>
      </c>
      <c r="AT69" s="38">
        <v>5</v>
      </c>
      <c r="AU69" s="38">
        <v>5</v>
      </c>
      <c r="AV69" s="66"/>
      <c r="AW69" s="38">
        <v>3</v>
      </c>
      <c r="AX69" s="38">
        <v>5</v>
      </c>
      <c r="AY69" s="38"/>
      <c r="AZ69" s="38">
        <v>5</v>
      </c>
      <c r="BA69" s="38"/>
      <c r="BB69" s="38"/>
      <c r="BC69" s="20">
        <v>3</v>
      </c>
      <c r="BD69" s="20">
        <v>2</v>
      </c>
      <c r="BE69" s="65"/>
      <c r="BF69" s="20">
        <v>1</v>
      </c>
      <c r="BG69" s="20"/>
      <c r="BH69" s="20">
        <v>3</v>
      </c>
      <c r="BI69" s="20">
        <v>1</v>
      </c>
      <c r="BJ69" s="20"/>
      <c r="BK69" s="20">
        <v>5</v>
      </c>
      <c r="BL69" s="20">
        <v>4</v>
      </c>
      <c r="BM69" s="20"/>
      <c r="BN69" s="20"/>
      <c r="BO69" s="65"/>
      <c r="BP69" s="65"/>
      <c r="BQ69" s="65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</row>
    <row r="70" spans="1:101" s="1" customFormat="1" x14ac:dyDescent="0.25">
      <c r="A70" s="53" t="s">
        <v>151</v>
      </c>
      <c r="B70" s="18" t="s">
        <v>102</v>
      </c>
      <c r="C70" s="19">
        <f t="shared" si="4"/>
        <v>535.04999999999995</v>
      </c>
      <c r="D70" s="30"/>
      <c r="E70" s="30"/>
      <c r="F70" s="30"/>
      <c r="G70" s="23"/>
      <c r="H70" s="23"/>
      <c r="I70" s="23"/>
      <c r="J70" s="30"/>
      <c r="K70" s="30"/>
      <c r="L70" s="30"/>
      <c r="M70" s="23"/>
      <c r="N70" s="23"/>
      <c r="O70" s="30"/>
      <c r="P70" s="30"/>
      <c r="Q70" s="30"/>
      <c r="R70" s="30"/>
      <c r="S70" s="30"/>
      <c r="T70" s="30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>
        <f>11.89*3</f>
        <v>35.67</v>
      </c>
      <c r="AT70" s="23">
        <f>11.89*5</f>
        <v>59.45</v>
      </c>
      <c r="AU70" s="23">
        <f>11.89*5</f>
        <v>59.45</v>
      </c>
      <c r="AV70" s="23"/>
      <c r="AW70" s="23">
        <f>11.89*3</f>
        <v>35.67</v>
      </c>
      <c r="AX70" s="23">
        <f>11.89*5</f>
        <v>59.45</v>
      </c>
      <c r="AY70" s="23"/>
      <c r="AZ70" s="23">
        <f>11.89*5</f>
        <v>59.45</v>
      </c>
      <c r="BA70" s="23"/>
      <c r="BB70" s="30"/>
      <c r="BC70" s="23">
        <f>11.89*3</f>
        <v>35.67</v>
      </c>
      <c r="BD70" s="23">
        <f>11.89*2</f>
        <v>23.78</v>
      </c>
      <c r="BE70" s="23"/>
      <c r="BF70" s="23">
        <f>11.89</f>
        <v>11.89</v>
      </c>
      <c r="BG70" s="23"/>
      <c r="BH70" s="23">
        <f>11.89*3</f>
        <v>35.67</v>
      </c>
      <c r="BI70" s="23">
        <f>11.89</f>
        <v>11.89</v>
      </c>
      <c r="BJ70" s="23"/>
      <c r="BK70" s="23">
        <f>11.89*5</f>
        <v>59.45</v>
      </c>
      <c r="BL70" s="23">
        <f>11.89*4</f>
        <v>47.56</v>
      </c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</row>
    <row r="71" spans="1:101" s="1" customFormat="1" hidden="1" x14ac:dyDescent="0.25">
      <c r="A71" s="123" t="s">
        <v>152</v>
      </c>
      <c r="B71" s="21" t="s">
        <v>121</v>
      </c>
      <c r="C71" s="19">
        <f t="shared" si="4"/>
        <v>0</v>
      </c>
      <c r="D71" s="30"/>
      <c r="E71" s="30"/>
      <c r="F71" s="30"/>
      <c r="G71" s="30"/>
      <c r="H71" s="23"/>
      <c r="I71" s="23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30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</row>
    <row r="72" spans="1:101" s="1" customFormat="1" hidden="1" x14ac:dyDescent="0.25">
      <c r="A72" s="123"/>
      <c r="B72" s="21" t="s">
        <v>102</v>
      </c>
      <c r="C72" s="19">
        <f t="shared" si="4"/>
        <v>0</v>
      </c>
      <c r="D72" s="30"/>
      <c r="E72" s="30"/>
      <c r="F72" s="30"/>
      <c r="G72" s="30"/>
      <c r="H72" s="23"/>
      <c r="I72" s="23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30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</row>
    <row r="73" spans="1:101" s="1" customFormat="1" hidden="1" x14ac:dyDescent="0.25">
      <c r="A73" s="123" t="s">
        <v>153</v>
      </c>
      <c r="B73" s="56" t="s">
        <v>154</v>
      </c>
      <c r="C73" s="19">
        <f t="shared" si="4"/>
        <v>0</v>
      </c>
      <c r="D73" s="30"/>
      <c r="E73" s="30"/>
      <c r="F73" s="30"/>
      <c r="G73" s="30"/>
      <c r="H73" s="23"/>
      <c r="I73" s="23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30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</row>
    <row r="74" spans="1:101" s="1" customFormat="1" ht="21.75" hidden="1" customHeight="1" x14ac:dyDescent="0.25">
      <c r="A74" s="123"/>
      <c r="B74" s="56" t="s">
        <v>102</v>
      </c>
      <c r="C74" s="19">
        <f t="shared" si="4"/>
        <v>0</v>
      </c>
      <c r="D74" s="30"/>
      <c r="E74" s="30"/>
      <c r="F74" s="30"/>
      <c r="G74" s="30"/>
      <c r="H74" s="23"/>
      <c r="I74" s="23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30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</row>
    <row r="75" spans="1:101" s="1" customFormat="1" hidden="1" x14ac:dyDescent="0.25">
      <c r="A75" s="123" t="s">
        <v>155</v>
      </c>
      <c r="B75" s="56" t="s">
        <v>121</v>
      </c>
      <c r="C75" s="19">
        <f t="shared" si="4"/>
        <v>0</v>
      </c>
      <c r="D75" s="30"/>
      <c r="E75" s="30"/>
      <c r="F75" s="30"/>
      <c r="G75" s="30"/>
      <c r="H75" s="23"/>
      <c r="I75" s="23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30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</row>
    <row r="76" spans="1:101" s="1" customFormat="1" hidden="1" x14ac:dyDescent="0.25">
      <c r="A76" s="123"/>
      <c r="B76" s="56" t="s">
        <v>102</v>
      </c>
      <c r="C76" s="19">
        <f t="shared" si="4"/>
        <v>0</v>
      </c>
      <c r="D76" s="30"/>
      <c r="E76" s="30"/>
      <c r="F76" s="30"/>
      <c r="G76" s="30"/>
      <c r="H76" s="23"/>
      <c r="I76" s="23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30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</row>
    <row r="77" spans="1:101" s="1" customFormat="1" hidden="1" x14ac:dyDescent="0.25">
      <c r="A77" s="123" t="s">
        <v>156</v>
      </c>
      <c r="B77" s="56" t="s">
        <v>157</v>
      </c>
      <c r="C77" s="19">
        <f t="shared" si="4"/>
        <v>0</v>
      </c>
      <c r="D77" s="30"/>
      <c r="E77" s="30"/>
      <c r="F77" s="30"/>
      <c r="G77" s="30"/>
      <c r="H77" s="23"/>
      <c r="I77" s="23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30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</row>
    <row r="78" spans="1:101" s="1" customFormat="1" hidden="1" x14ac:dyDescent="0.25">
      <c r="A78" s="123"/>
      <c r="B78" s="56" t="s">
        <v>102</v>
      </c>
      <c r="C78" s="19">
        <f t="shared" si="4"/>
        <v>0</v>
      </c>
      <c r="D78" s="30"/>
      <c r="E78" s="30"/>
      <c r="F78" s="30"/>
      <c r="G78" s="30"/>
      <c r="H78" s="23"/>
      <c r="I78" s="2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30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</row>
    <row r="79" spans="1:101" s="1" customFormat="1" x14ac:dyDescent="0.25">
      <c r="A79" s="123" t="s">
        <v>158</v>
      </c>
      <c r="B79" s="56" t="s">
        <v>154</v>
      </c>
      <c r="C79" s="28">
        <f t="shared" si="4"/>
        <v>0.66900000000000004</v>
      </c>
      <c r="D79" s="30"/>
      <c r="E79" s="30"/>
      <c r="F79" s="30"/>
      <c r="G79" s="30"/>
      <c r="H79" s="23"/>
      <c r="I79" s="67"/>
      <c r="J79" s="30"/>
      <c r="K79" s="30"/>
      <c r="L79" s="30"/>
      <c r="M79" s="30"/>
      <c r="N79" s="30"/>
      <c r="O79" s="30">
        <v>0.05</v>
      </c>
      <c r="P79" s="30"/>
      <c r="Q79" s="30"/>
      <c r="R79" s="30"/>
      <c r="S79" s="30"/>
      <c r="T79" s="30"/>
      <c r="U79" s="23"/>
      <c r="V79" s="30">
        <v>1.4999999999999999E-2</v>
      </c>
      <c r="W79" s="30"/>
      <c r="X79" s="23">
        <v>0.02</v>
      </c>
      <c r="Y79" s="30"/>
      <c r="Z79" s="23"/>
      <c r="AA79" s="30"/>
      <c r="AB79" s="23"/>
      <c r="AC79" s="23"/>
      <c r="AD79" s="23"/>
      <c r="AE79" s="30">
        <v>0.245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30"/>
      <c r="AP79" s="30">
        <f>0.01*4</f>
        <v>0.04</v>
      </c>
      <c r="AQ79" s="23"/>
      <c r="AR79" s="30"/>
      <c r="AS79" s="23"/>
      <c r="AT79" s="23"/>
      <c r="AU79" s="30"/>
      <c r="AV79" s="23"/>
      <c r="AW79" s="23"/>
      <c r="AX79" s="30">
        <v>6.0000000000000001E-3</v>
      </c>
      <c r="AY79" s="30"/>
      <c r="AZ79" s="23"/>
      <c r="BA79" s="30">
        <v>2.5000000000000001E-2</v>
      </c>
      <c r="BB79" s="30"/>
      <c r="BC79" s="23">
        <v>0.05</v>
      </c>
      <c r="BD79" s="23"/>
      <c r="BE79" s="23"/>
      <c r="BF79" s="23"/>
      <c r="BG79" s="23"/>
      <c r="BH79" s="30"/>
      <c r="BI79" s="23"/>
      <c r="BJ79" s="23"/>
      <c r="BK79" s="30">
        <f>0.04+0.018</f>
        <v>5.7999999999999996E-2</v>
      </c>
      <c r="BL79" s="30"/>
      <c r="BM79" s="23"/>
      <c r="BN79" s="23"/>
      <c r="BO79" s="23"/>
      <c r="BP79" s="23"/>
      <c r="BQ79" s="23">
        <v>0.01</v>
      </c>
      <c r="BR79" s="23"/>
      <c r="BS79" s="23"/>
      <c r="BT79" s="23">
        <v>0.09</v>
      </c>
      <c r="BU79" s="23"/>
      <c r="BV79" s="23"/>
      <c r="BW79" s="23"/>
      <c r="BX79" s="23">
        <v>0.03</v>
      </c>
      <c r="BY79" s="30">
        <v>1.4999999999999999E-2</v>
      </c>
      <c r="BZ79" s="23">
        <v>1.4999999999999999E-2</v>
      </c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</row>
    <row r="80" spans="1:101" s="1" customFormat="1" x14ac:dyDescent="0.25">
      <c r="A80" s="123"/>
      <c r="B80" s="56" t="s">
        <v>102</v>
      </c>
      <c r="C80" s="19">
        <f t="shared" si="4"/>
        <v>1399.28</v>
      </c>
      <c r="D80" s="23"/>
      <c r="E80" s="30"/>
      <c r="F80" s="30"/>
      <c r="G80" s="23"/>
      <c r="H80" s="23"/>
      <c r="I80" s="67"/>
      <c r="J80" s="30"/>
      <c r="K80" s="30"/>
      <c r="L80" s="30"/>
      <c r="M80" s="30"/>
      <c r="N80" s="23"/>
      <c r="O80" s="23">
        <f>1.9*50</f>
        <v>95</v>
      </c>
      <c r="P80" s="23"/>
      <c r="Q80" s="23"/>
      <c r="R80" s="23"/>
      <c r="S80" s="23"/>
      <c r="T80" s="23"/>
      <c r="U80" s="23"/>
      <c r="V80" s="23">
        <f>1.9*15</f>
        <v>28.5</v>
      </c>
      <c r="W80" s="23"/>
      <c r="X80" s="23">
        <f>1.9*20</f>
        <v>38</v>
      </c>
      <c r="Y80" s="23"/>
      <c r="Z80" s="23"/>
      <c r="AA80" s="23"/>
      <c r="AB80" s="23"/>
      <c r="AC80" s="23"/>
      <c r="AD80" s="23"/>
      <c r="AE80" s="23">
        <f>1.9*AE79*1000</f>
        <v>465.49999999999994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>
        <f>32.54*4</f>
        <v>130.16</v>
      </c>
      <c r="AQ80" s="23"/>
      <c r="AR80" s="23"/>
      <c r="AS80" s="23"/>
      <c r="AT80" s="23"/>
      <c r="AU80" s="23"/>
      <c r="AV80" s="23"/>
      <c r="AW80" s="23"/>
      <c r="AX80" s="23">
        <v>29.9</v>
      </c>
      <c r="AY80" s="23"/>
      <c r="AZ80" s="23"/>
      <c r="BA80" s="23">
        <f>1.9*25</f>
        <v>47.5</v>
      </c>
      <c r="BB80" s="23"/>
      <c r="BC80" s="23">
        <f>1.9*50</f>
        <v>95</v>
      </c>
      <c r="BD80" s="23"/>
      <c r="BE80" s="23"/>
      <c r="BF80" s="23"/>
      <c r="BG80" s="23"/>
      <c r="BH80" s="23"/>
      <c r="BI80" s="23"/>
      <c r="BJ80" s="23"/>
      <c r="BK80" s="23">
        <f>1.9*40+89.72</f>
        <v>165.72</v>
      </c>
      <c r="BL80" s="23"/>
      <c r="BM80" s="23"/>
      <c r="BN80" s="23"/>
      <c r="BO80" s="23"/>
      <c r="BP80" s="23"/>
      <c r="BQ80" s="23">
        <f>1.9*10</f>
        <v>19</v>
      </c>
      <c r="BR80" s="23"/>
      <c r="BS80" s="23"/>
      <c r="BT80" s="23">
        <f>1.9*90</f>
        <v>171</v>
      </c>
      <c r="BU80" s="23"/>
      <c r="BV80" s="23"/>
      <c r="BW80" s="23"/>
      <c r="BX80" s="23">
        <f>1.9*30</f>
        <v>57</v>
      </c>
      <c r="BY80" s="23">
        <f>1.9*15</f>
        <v>28.5</v>
      </c>
      <c r="BZ80" s="23">
        <f>1.9*15</f>
        <v>28.5</v>
      </c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</row>
    <row r="81" spans="1:101" s="1" customFormat="1" x14ac:dyDescent="0.25">
      <c r="A81" s="124" t="s">
        <v>159</v>
      </c>
      <c r="B81" s="68" t="s">
        <v>121</v>
      </c>
      <c r="C81" s="36">
        <f t="shared" si="4"/>
        <v>2011</v>
      </c>
      <c r="D81" s="38">
        <v>107</v>
      </c>
      <c r="E81" s="38"/>
      <c r="F81" s="38"/>
      <c r="G81" s="38"/>
      <c r="H81" s="38">
        <v>36</v>
      </c>
      <c r="I81" s="38">
        <v>71</v>
      </c>
      <c r="J81" s="38"/>
      <c r="K81" s="38"/>
      <c r="L81" s="38"/>
      <c r="M81" s="38">
        <v>72</v>
      </c>
      <c r="N81" s="38">
        <v>71</v>
      </c>
      <c r="O81" s="38"/>
      <c r="P81" s="38"/>
      <c r="Q81" s="38"/>
      <c r="R81" s="38"/>
      <c r="S81" s="38"/>
      <c r="T81" s="38">
        <v>90</v>
      </c>
      <c r="U81" s="38"/>
      <c r="V81" s="38"/>
      <c r="W81" s="38"/>
      <c r="X81" s="38"/>
      <c r="Y81" s="38">
        <v>36</v>
      </c>
      <c r="Z81" s="38"/>
      <c r="AA81" s="38">
        <v>104</v>
      </c>
      <c r="AB81" s="38"/>
      <c r="AC81" s="38"/>
      <c r="AD81" s="38"/>
      <c r="AE81" s="38"/>
      <c r="AF81" s="38"/>
      <c r="AG81" s="38"/>
      <c r="AH81" s="38"/>
      <c r="AI81" s="38">
        <v>153</v>
      </c>
      <c r="AJ81" s="38"/>
      <c r="AK81" s="38"/>
      <c r="AL81" s="38"/>
      <c r="AM81" s="38"/>
      <c r="AN81" s="38"/>
      <c r="AO81" s="38"/>
      <c r="AP81" s="38">
        <v>108</v>
      </c>
      <c r="AQ81" s="38"/>
      <c r="AR81" s="38"/>
      <c r="AS81" s="38"/>
      <c r="AT81" s="38">
        <v>107</v>
      </c>
      <c r="AU81" s="38">
        <v>72</v>
      </c>
      <c r="AV81" s="38"/>
      <c r="AW81" s="38">
        <v>71</v>
      </c>
      <c r="AX81" s="38">
        <v>47</v>
      </c>
      <c r="AY81" s="38">
        <v>107</v>
      </c>
      <c r="AZ81" s="38">
        <v>72</v>
      </c>
      <c r="BA81" s="38"/>
      <c r="BB81" s="38"/>
      <c r="BC81" s="38">
        <v>72</v>
      </c>
      <c r="BD81" s="38">
        <v>72</v>
      </c>
      <c r="BE81" s="38"/>
      <c r="BF81" s="38"/>
      <c r="BG81" s="38"/>
      <c r="BH81" s="38">
        <v>72</v>
      </c>
      <c r="BI81" s="38">
        <v>98</v>
      </c>
      <c r="BJ81" s="38"/>
      <c r="BK81" s="38">
        <v>107</v>
      </c>
      <c r="BL81" s="38">
        <v>36</v>
      </c>
      <c r="BM81" s="38">
        <v>71</v>
      </c>
      <c r="BN81" s="38">
        <v>16</v>
      </c>
      <c r="BO81" s="38"/>
      <c r="BP81" s="38">
        <v>59</v>
      </c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>
        <v>84</v>
      </c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</row>
    <row r="82" spans="1:101" s="1" customFormat="1" x14ac:dyDescent="0.25">
      <c r="A82" s="124"/>
      <c r="B82" s="68" t="s">
        <v>102</v>
      </c>
      <c r="C82" s="19">
        <f t="shared" si="4"/>
        <v>1638.9649999999999</v>
      </c>
      <c r="D82" s="23">
        <f>0.815*D81</f>
        <v>87.204999999999998</v>
      </c>
      <c r="E82" s="23"/>
      <c r="F82" s="23"/>
      <c r="G82" s="23"/>
      <c r="H82" s="23">
        <f>0.815*H81</f>
        <v>29.339999999999996</v>
      </c>
      <c r="I82" s="23">
        <f>0.815*I81</f>
        <v>57.864999999999995</v>
      </c>
      <c r="J82" s="23"/>
      <c r="K82" s="23"/>
      <c r="L82" s="23"/>
      <c r="M82" s="23">
        <f>0.815*M81</f>
        <v>58.679999999999993</v>
      </c>
      <c r="N82" s="23">
        <f>0.815*N81</f>
        <v>57.864999999999995</v>
      </c>
      <c r="O82" s="23"/>
      <c r="P82" s="23"/>
      <c r="Q82" s="23"/>
      <c r="R82" s="23"/>
      <c r="S82" s="23"/>
      <c r="T82" s="23">
        <f>0.815*T81</f>
        <v>73.349999999999994</v>
      </c>
      <c r="U82" s="23"/>
      <c r="V82" s="23"/>
      <c r="W82" s="23"/>
      <c r="X82" s="23"/>
      <c r="Y82" s="23">
        <f>0.815*Y81</f>
        <v>29.339999999999996</v>
      </c>
      <c r="Z82" s="23"/>
      <c r="AA82" s="23">
        <f>0.815*AA81</f>
        <v>84.759999999999991</v>
      </c>
      <c r="AB82" s="23"/>
      <c r="AC82" s="23"/>
      <c r="AD82" s="23"/>
      <c r="AE82" s="23"/>
      <c r="AF82" s="23"/>
      <c r="AG82" s="23"/>
      <c r="AH82" s="23"/>
      <c r="AI82" s="23">
        <f>0.815*AI81</f>
        <v>124.69499999999999</v>
      </c>
      <c r="AJ82" s="23"/>
      <c r="AK82" s="23"/>
      <c r="AL82" s="23"/>
      <c r="AM82" s="23"/>
      <c r="AN82" s="23"/>
      <c r="AO82" s="23"/>
      <c r="AP82" s="23">
        <f>0.815*AP81</f>
        <v>88.02</v>
      </c>
      <c r="AQ82" s="23"/>
      <c r="AR82" s="23"/>
      <c r="AS82" s="23"/>
      <c r="AT82" s="23">
        <f>0.815*AT81</f>
        <v>87.204999999999998</v>
      </c>
      <c r="AU82" s="23">
        <f>0.815*AU81</f>
        <v>58.679999999999993</v>
      </c>
      <c r="AV82" s="23"/>
      <c r="AW82" s="23">
        <f>0.815*AW81</f>
        <v>57.864999999999995</v>
      </c>
      <c r="AX82" s="23">
        <f>0.815*AX81</f>
        <v>38.305</v>
      </c>
      <c r="AY82" s="23">
        <f>0.815*AY81</f>
        <v>87.204999999999998</v>
      </c>
      <c r="AZ82" s="23">
        <f>0.815*AZ81</f>
        <v>58.679999999999993</v>
      </c>
      <c r="BA82" s="23"/>
      <c r="BB82" s="23"/>
      <c r="BC82" s="23">
        <f>0.815*BC81</f>
        <v>58.679999999999993</v>
      </c>
      <c r="BD82" s="23">
        <f>0.815*BD81</f>
        <v>58.679999999999993</v>
      </c>
      <c r="BE82" s="23"/>
      <c r="BF82" s="23"/>
      <c r="BG82" s="23"/>
      <c r="BH82" s="23">
        <f>0.815*BH81</f>
        <v>58.679999999999993</v>
      </c>
      <c r="BI82" s="23">
        <f>0.815*BI81</f>
        <v>79.86999999999999</v>
      </c>
      <c r="BJ82" s="23"/>
      <c r="BK82" s="23">
        <f>0.815*BK81</f>
        <v>87.204999999999998</v>
      </c>
      <c r="BL82" s="23">
        <f>0.815*BL81</f>
        <v>29.339999999999996</v>
      </c>
      <c r="BM82" s="23">
        <f>0.815*BM81</f>
        <v>57.864999999999995</v>
      </c>
      <c r="BN82" s="23">
        <f>0.815*BN81</f>
        <v>13.04</v>
      </c>
      <c r="BO82" s="23"/>
      <c r="BP82" s="23">
        <f>0.815*BP81</f>
        <v>48.084999999999994</v>
      </c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>
        <f>0.815*CB81</f>
        <v>68.459999999999994</v>
      </c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</row>
    <row r="83" spans="1:101" x14ac:dyDescent="0.25">
      <c r="A83" s="69" t="s">
        <v>160</v>
      </c>
      <c r="B83" s="70" t="s">
        <v>102</v>
      </c>
      <c r="C83" s="71">
        <f>C85+C95+C97</f>
        <v>6066.9199999999992</v>
      </c>
      <c r="D83" s="71">
        <f t="shared" ref="D83:BP83" si="12">D85+D95+D97</f>
        <v>0</v>
      </c>
      <c r="E83" s="71">
        <f t="shared" si="12"/>
        <v>0</v>
      </c>
      <c r="F83" s="71">
        <f t="shared" si="12"/>
        <v>0</v>
      </c>
      <c r="G83" s="71">
        <f t="shared" si="12"/>
        <v>0</v>
      </c>
      <c r="H83" s="71">
        <f t="shared" si="12"/>
        <v>0</v>
      </c>
      <c r="I83" s="71">
        <f t="shared" si="12"/>
        <v>811.13</v>
      </c>
      <c r="J83" s="71">
        <f t="shared" si="12"/>
        <v>0</v>
      </c>
      <c r="K83" s="71">
        <f t="shared" si="12"/>
        <v>0</v>
      </c>
      <c r="L83" s="71">
        <f t="shared" si="12"/>
        <v>6.87</v>
      </c>
      <c r="M83" s="71">
        <f t="shared" si="12"/>
        <v>66.260000000000005</v>
      </c>
      <c r="N83" s="71">
        <f t="shared" si="12"/>
        <v>59.74</v>
      </c>
      <c r="O83" s="71">
        <f t="shared" si="12"/>
        <v>0</v>
      </c>
      <c r="P83" s="71">
        <f t="shared" si="12"/>
        <v>0</v>
      </c>
      <c r="Q83" s="71">
        <f t="shared" si="12"/>
        <v>0</v>
      </c>
      <c r="R83" s="71">
        <f t="shared" si="12"/>
        <v>6.87</v>
      </c>
      <c r="S83" s="71">
        <f t="shared" si="12"/>
        <v>0</v>
      </c>
      <c r="T83" s="71">
        <f t="shared" si="12"/>
        <v>0</v>
      </c>
      <c r="U83" s="71">
        <f t="shared" si="12"/>
        <v>0</v>
      </c>
      <c r="V83" s="71">
        <f t="shared" si="12"/>
        <v>0</v>
      </c>
      <c r="W83" s="71">
        <f t="shared" si="12"/>
        <v>0</v>
      </c>
      <c r="X83" s="71">
        <f t="shared" si="12"/>
        <v>0</v>
      </c>
      <c r="Y83" s="71">
        <f t="shared" si="12"/>
        <v>0</v>
      </c>
      <c r="Z83" s="71">
        <f t="shared" si="12"/>
        <v>0</v>
      </c>
      <c r="AA83" s="71">
        <f t="shared" si="12"/>
        <v>0</v>
      </c>
      <c r="AB83" s="71">
        <f t="shared" si="12"/>
        <v>6.87</v>
      </c>
      <c r="AC83" s="71">
        <f t="shared" si="12"/>
        <v>52.23</v>
      </c>
      <c r="AD83" s="71">
        <f t="shared" si="12"/>
        <v>0</v>
      </c>
      <c r="AE83" s="71">
        <f t="shared" si="12"/>
        <v>0</v>
      </c>
      <c r="AF83" s="71">
        <f t="shared" si="12"/>
        <v>0</v>
      </c>
      <c r="AG83" s="71">
        <f t="shared" si="12"/>
        <v>20.61</v>
      </c>
      <c r="AH83" s="71">
        <f t="shared" si="12"/>
        <v>0</v>
      </c>
      <c r="AI83" s="71">
        <f t="shared" si="12"/>
        <v>0</v>
      </c>
      <c r="AJ83" s="71">
        <f t="shared" si="12"/>
        <v>0</v>
      </c>
      <c r="AK83" s="71">
        <f t="shared" si="12"/>
        <v>0</v>
      </c>
      <c r="AL83" s="71">
        <f t="shared" si="12"/>
        <v>0</v>
      </c>
      <c r="AM83" s="71">
        <f>AM85+AM95+AM97</f>
        <v>0</v>
      </c>
      <c r="AN83" s="71">
        <f t="shared" si="12"/>
        <v>0</v>
      </c>
      <c r="AO83" s="71">
        <f t="shared" si="12"/>
        <v>0</v>
      </c>
      <c r="AP83" s="71">
        <f t="shared" si="12"/>
        <v>0</v>
      </c>
      <c r="AQ83" s="71">
        <f t="shared" si="12"/>
        <v>0</v>
      </c>
      <c r="AR83" s="71">
        <f t="shared" si="12"/>
        <v>0</v>
      </c>
      <c r="AS83" s="71">
        <f t="shared" si="12"/>
        <v>132.78</v>
      </c>
      <c r="AT83" s="71">
        <f t="shared" si="12"/>
        <v>97.81</v>
      </c>
      <c r="AU83" s="71">
        <f t="shared" si="12"/>
        <v>74.300000000000011</v>
      </c>
      <c r="AV83" s="71">
        <f t="shared" si="12"/>
        <v>0</v>
      </c>
      <c r="AW83" s="71">
        <f t="shared" si="12"/>
        <v>104.5</v>
      </c>
      <c r="AX83" s="71">
        <f t="shared" si="12"/>
        <v>553.68999999999994</v>
      </c>
      <c r="AY83" s="71">
        <f t="shared" si="12"/>
        <v>243.93</v>
      </c>
      <c r="AZ83" s="71">
        <f t="shared" si="12"/>
        <v>280.98</v>
      </c>
      <c r="BA83" s="71">
        <f t="shared" si="12"/>
        <v>136.41999999999999</v>
      </c>
      <c r="BB83" s="71">
        <f t="shared" si="12"/>
        <v>43.34</v>
      </c>
      <c r="BC83" s="71">
        <f t="shared" si="12"/>
        <v>0</v>
      </c>
      <c r="BD83" s="71">
        <f t="shared" si="12"/>
        <v>79.359999999999985</v>
      </c>
      <c r="BE83" s="71">
        <f t="shared" si="12"/>
        <v>69.349999999999994</v>
      </c>
      <c r="BF83" s="71">
        <f t="shared" si="12"/>
        <v>67.069999999999993</v>
      </c>
      <c r="BG83" s="71">
        <f t="shared" si="12"/>
        <v>107.91999999999999</v>
      </c>
      <c r="BH83" s="71">
        <f t="shared" si="12"/>
        <v>311.57</v>
      </c>
      <c r="BI83" s="71">
        <f t="shared" si="12"/>
        <v>179.68</v>
      </c>
      <c r="BJ83" s="71">
        <f t="shared" si="12"/>
        <v>119.65999999999998</v>
      </c>
      <c r="BK83" s="71">
        <f t="shared" si="12"/>
        <v>274.18</v>
      </c>
      <c r="BL83" s="71">
        <f t="shared" si="12"/>
        <v>267.60999999999996</v>
      </c>
      <c r="BM83" s="71">
        <f t="shared" si="12"/>
        <v>0</v>
      </c>
      <c r="BN83" s="71">
        <f t="shared" si="12"/>
        <v>180.78</v>
      </c>
      <c r="BO83" s="71">
        <f t="shared" si="12"/>
        <v>118.77</v>
      </c>
      <c r="BP83" s="71">
        <f t="shared" si="12"/>
        <v>713.35</v>
      </c>
      <c r="BQ83" s="71">
        <f t="shared" ref="BQ83:CV83" si="13">BQ85+BQ95+BQ97</f>
        <v>178.47</v>
      </c>
      <c r="BR83" s="71">
        <f t="shared" si="13"/>
        <v>64.489999999999995</v>
      </c>
      <c r="BS83" s="71">
        <f t="shared" si="13"/>
        <v>394.04</v>
      </c>
      <c r="BT83" s="71">
        <f t="shared" si="13"/>
        <v>155.19999999999999</v>
      </c>
      <c r="BU83" s="71">
        <f t="shared" si="13"/>
        <v>0</v>
      </c>
      <c r="BV83" s="71">
        <f t="shared" si="13"/>
        <v>0</v>
      </c>
      <c r="BW83" s="71">
        <f t="shared" si="13"/>
        <v>0</v>
      </c>
      <c r="BX83" s="71">
        <f t="shared" si="13"/>
        <v>0</v>
      </c>
      <c r="BY83" s="71">
        <f t="shared" si="13"/>
        <v>87.09</v>
      </c>
      <c r="BZ83" s="71">
        <f t="shared" si="13"/>
        <v>0</v>
      </c>
      <c r="CA83" s="71">
        <f t="shared" si="13"/>
        <v>0</v>
      </c>
      <c r="CB83" s="71">
        <f t="shared" si="13"/>
        <v>0</v>
      </c>
      <c r="CC83" s="71">
        <f t="shared" si="13"/>
        <v>0</v>
      </c>
      <c r="CD83" s="71">
        <f t="shared" si="13"/>
        <v>0</v>
      </c>
      <c r="CE83" s="71">
        <f t="shared" si="13"/>
        <v>0</v>
      </c>
      <c r="CF83" s="71">
        <f t="shared" si="13"/>
        <v>0</v>
      </c>
      <c r="CG83" s="71">
        <f t="shared" si="13"/>
        <v>0</v>
      </c>
      <c r="CH83" s="71">
        <f t="shared" si="13"/>
        <v>0</v>
      </c>
      <c r="CI83" s="71">
        <f t="shared" si="13"/>
        <v>0</v>
      </c>
      <c r="CJ83" s="71">
        <f t="shared" si="13"/>
        <v>0</v>
      </c>
      <c r="CK83" s="71">
        <f t="shared" si="13"/>
        <v>0</v>
      </c>
      <c r="CL83" s="71">
        <f t="shared" si="13"/>
        <v>0</v>
      </c>
      <c r="CM83" s="71">
        <f t="shared" si="13"/>
        <v>0</v>
      </c>
      <c r="CN83" s="71">
        <f t="shared" si="13"/>
        <v>0</v>
      </c>
      <c r="CO83" s="71">
        <f t="shared" si="13"/>
        <v>0</v>
      </c>
      <c r="CP83" s="71">
        <f t="shared" si="13"/>
        <v>0</v>
      </c>
      <c r="CQ83" s="71">
        <f t="shared" si="13"/>
        <v>0</v>
      </c>
      <c r="CR83" s="71">
        <f t="shared" si="13"/>
        <v>0</v>
      </c>
      <c r="CS83" s="71">
        <f t="shared" si="13"/>
        <v>0</v>
      </c>
      <c r="CT83" s="71">
        <f t="shared" si="13"/>
        <v>0</v>
      </c>
      <c r="CU83" s="71">
        <f t="shared" si="13"/>
        <v>0</v>
      </c>
      <c r="CV83" s="71">
        <f t="shared" si="13"/>
        <v>0</v>
      </c>
      <c r="CW83" s="71">
        <f>CW85+CW95+CW97</f>
        <v>0</v>
      </c>
    </row>
    <row r="84" spans="1:101" x14ac:dyDescent="0.25">
      <c r="A84" s="12" t="s">
        <v>161</v>
      </c>
      <c r="B84" s="13" t="s">
        <v>132</v>
      </c>
      <c r="C84" s="16">
        <f>C86+C88+C90+C92</f>
        <v>1.9981000000000004</v>
      </c>
      <c r="D84" s="16">
        <f t="shared" ref="D84:BP85" si="14">D86+D88+D90+D92</f>
        <v>0</v>
      </c>
      <c r="E84" s="16">
        <f t="shared" si="14"/>
        <v>0</v>
      </c>
      <c r="F84" s="16">
        <f t="shared" si="14"/>
        <v>0</v>
      </c>
      <c r="G84" s="16">
        <f t="shared" si="14"/>
        <v>0</v>
      </c>
      <c r="H84" s="16">
        <f t="shared" si="14"/>
        <v>0</v>
      </c>
      <c r="I84" s="16">
        <f t="shared" si="14"/>
        <v>0.214</v>
      </c>
      <c r="J84" s="16">
        <f t="shared" si="14"/>
        <v>0</v>
      </c>
      <c r="K84" s="16">
        <f t="shared" si="14"/>
        <v>0</v>
      </c>
      <c r="L84" s="16">
        <f t="shared" si="14"/>
        <v>0</v>
      </c>
      <c r="M84" s="16">
        <f t="shared" si="14"/>
        <v>1.3599999999999999E-2</v>
      </c>
      <c r="N84" s="16">
        <f t="shared" si="14"/>
        <v>0.04</v>
      </c>
      <c r="O84" s="16">
        <f t="shared" si="14"/>
        <v>0</v>
      </c>
      <c r="P84" s="16">
        <f t="shared" si="14"/>
        <v>0</v>
      </c>
      <c r="Q84" s="16">
        <f t="shared" si="14"/>
        <v>0</v>
      </c>
      <c r="R84" s="16">
        <f t="shared" si="14"/>
        <v>0</v>
      </c>
      <c r="S84" s="16">
        <f t="shared" si="14"/>
        <v>0</v>
      </c>
      <c r="T84" s="16">
        <f t="shared" si="14"/>
        <v>0</v>
      </c>
      <c r="U84" s="16">
        <f t="shared" si="14"/>
        <v>0</v>
      </c>
      <c r="V84" s="16">
        <f t="shared" si="14"/>
        <v>0</v>
      </c>
      <c r="W84" s="16">
        <f t="shared" si="14"/>
        <v>0</v>
      </c>
      <c r="X84" s="16">
        <f t="shared" si="14"/>
        <v>0</v>
      </c>
      <c r="Y84" s="16">
        <f t="shared" si="14"/>
        <v>0</v>
      </c>
      <c r="Z84" s="16">
        <f t="shared" si="14"/>
        <v>0</v>
      </c>
      <c r="AA84" s="16">
        <f t="shared" si="14"/>
        <v>0</v>
      </c>
      <c r="AB84" s="16">
        <f t="shared" si="14"/>
        <v>0</v>
      </c>
      <c r="AC84" s="16">
        <f t="shared" si="14"/>
        <v>1.4999999999999999E-2</v>
      </c>
      <c r="AD84" s="16">
        <f t="shared" si="14"/>
        <v>0</v>
      </c>
      <c r="AE84" s="16">
        <f t="shared" si="14"/>
        <v>0</v>
      </c>
      <c r="AF84" s="16">
        <f t="shared" si="14"/>
        <v>0</v>
      </c>
      <c r="AG84" s="16">
        <f t="shared" si="14"/>
        <v>0</v>
      </c>
      <c r="AH84" s="16">
        <f t="shared" si="14"/>
        <v>0</v>
      </c>
      <c r="AI84" s="16">
        <f t="shared" si="14"/>
        <v>0</v>
      </c>
      <c r="AJ84" s="16">
        <f t="shared" si="14"/>
        <v>0</v>
      </c>
      <c r="AK84" s="16">
        <f t="shared" si="14"/>
        <v>0</v>
      </c>
      <c r="AL84" s="16">
        <f t="shared" si="14"/>
        <v>0</v>
      </c>
      <c r="AM84" s="16">
        <f>AM86+AM88+AM90+AM92</f>
        <v>0</v>
      </c>
      <c r="AN84" s="16">
        <f t="shared" si="14"/>
        <v>0</v>
      </c>
      <c r="AO84" s="16">
        <f t="shared" si="14"/>
        <v>0</v>
      </c>
      <c r="AP84" s="16">
        <f t="shared" si="14"/>
        <v>0</v>
      </c>
      <c r="AQ84" s="16">
        <f t="shared" si="14"/>
        <v>0</v>
      </c>
      <c r="AR84" s="16">
        <f t="shared" si="14"/>
        <v>0</v>
      </c>
      <c r="AS84" s="16">
        <f t="shared" si="14"/>
        <v>0.06</v>
      </c>
      <c r="AT84" s="16">
        <f t="shared" si="14"/>
        <v>0.04</v>
      </c>
      <c r="AU84" s="16">
        <f t="shared" si="14"/>
        <v>3.5000000000000003E-2</v>
      </c>
      <c r="AV84" s="16">
        <f t="shared" si="14"/>
        <v>0</v>
      </c>
      <c r="AW84" s="16">
        <f t="shared" si="14"/>
        <v>0.04</v>
      </c>
      <c r="AX84" s="16">
        <f t="shared" si="14"/>
        <v>0.16200000000000001</v>
      </c>
      <c r="AY84" s="16">
        <f t="shared" si="14"/>
        <v>0.05</v>
      </c>
      <c r="AZ84" s="16">
        <f t="shared" si="14"/>
        <v>6.9999999999999993E-2</v>
      </c>
      <c r="BA84" s="16">
        <f t="shared" si="14"/>
        <v>0.03</v>
      </c>
      <c r="BB84" s="16">
        <f t="shared" si="14"/>
        <v>5.0000000000000001E-3</v>
      </c>
      <c r="BC84" s="16">
        <f t="shared" si="14"/>
        <v>0</v>
      </c>
      <c r="BD84" s="16">
        <f t="shared" si="14"/>
        <v>0.03</v>
      </c>
      <c r="BE84" s="16">
        <f t="shared" si="14"/>
        <v>0.03</v>
      </c>
      <c r="BF84" s="16">
        <f t="shared" si="14"/>
        <v>2.1999999999999999E-2</v>
      </c>
      <c r="BG84" s="16">
        <f t="shared" si="14"/>
        <v>0.03</v>
      </c>
      <c r="BH84" s="16">
        <f t="shared" si="14"/>
        <v>0.11499999999999999</v>
      </c>
      <c r="BI84" s="16">
        <f t="shared" si="14"/>
        <v>0.03</v>
      </c>
      <c r="BJ84" s="16">
        <f t="shared" si="14"/>
        <v>0.04</v>
      </c>
      <c r="BK84" s="16">
        <f t="shared" si="14"/>
        <v>7.2999999999999995E-2</v>
      </c>
      <c r="BL84" s="16">
        <f t="shared" si="14"/>
        <v>9.9999999999999992E-2</v>
      </c>
      <c r="BM84" s="16">
        <f t="shared" si="14"/>
        <v>0</v>
      </c>
      <c r="BN84" s="16">
        <f t="shared" si="14"/>
        <v>3.7999999999999999E-2</v>
      </c>
      <c r="BO84" s="16">
        <f t="shared" si="14"/>
        <v>0.03</v>
      </c>
      <c r="BP84" s="16">
        <f t="shared" si="14"/>
        <v>0.23200000000000001</v>
      </c>
      <c r="BQ84" s="16">
        <f t="shared" ref="BQ84:CV85" si="15">BQ86+BQ88+BQ90+BQ92</f>
        <v>7.0000000000000007E-2</v>
      </c>
      <c r="BR84" s="16">
        <f t="shared" si="15"/>
        <v>3.5000000000000003E-2</v>
      </c>
      <c r="BS84" s="16">
        <f t="shared" si="15"/>
        <v>0.224</v>
      </c>
      <c r="BT84" s="16">
        <f t="shared" si="15"/>
        <v>7.8E-2</v>
      </c>
      <c r="BU84" s="16">
        <f t="shared" si="15"/>
        <v>0</v>
      </c>
      <c r="BV84" s="16">
        <f t="shared" si="15"/>
        <v>0</v>
      </c>
      <c r="BW84" s="16">
        <f t="shared" si="15"/>
        <v>0</v>
      </c>
      <c r="BX84" s="16">
        <f t="shared" si="15"/>
        <v>0</v>
      </c>
      <c r="BY84" s="16">
        <f t="shared" si="15"/>
        <v>4.65E-2</v>
      </c>
      <c r="BZ84" s="16">
        <f t="shared" si="15"/>
        <v>0</v>
      </c>
      <c r="CA84" s="16">
        <f t="shared" si="15"/>
        <v>0</v>
      </c>
      <c r="CB84" s="16">
        <f t="shared" si="15"/>
        <v>0</v>
      </c>
      <c r="CC84" s="16">
        <f t="shared" si="15"/>
        <v>0</v>
      </c>
      <c r="CD84" s="16">
        <f t="shared" si="15"/>
        <v>0</v>
      </c>
      <c r="CE84" s="16">
        <f t="shared" si="15"/>
        <v>0</v>
      </c>
      <c r="CF84" s="16">
        <f t="shared" si="15"/>
        <v>0</v>
      </c>
      <c r="CG84" s="16">
        <f t="shared" si="15"/>
        <v>0</v>
      </c>
      <c r="CH84" s="16">
        <f t="shared" si="15"/>
        <v>0</v>
      </c>
      <c r="CI84" s="16">
        <f t="shared" si="15"/>
        <v>0</v>
      </c>
      <c r="CJ84" s="16">
        <f t="shared" si="15"/>
        <v>0</v>
      </c>
      <c r="CK84" s="16">
        <f t="shared" si="15"/>
        <v>0</v>
      </c>
      <c r="CL84" s="16">
        <f t="shared" si="15"/>
        <v>0</v>
      </c>
      <c r="CM84" s="16">
        <f t="shared" si="15"/>
        <v>0</v>
      </c>
      <c r="CN84" s="16">
        <f t="shared" si="15"/>
        <v>0</v>
      </c>
      <c r="CO84" s="16">
        <f t="shared" si="15"/>
        <v>0</v>
      </c>
      <c r="CP84" s="16">
        <f t="shared" si="15"/>
        <v>0</v>
      </c>
      <c r="CQ84" s="16">
        <f t="shared" si="15"/>
        <v>0</v>
      </c>
      <c r="CR84" s="16">
        <f t="shared" si="15"/>
        <v>0</v>
      </c>
      <c r="CS84" s="16">
        <f t="shared" si="15"/>
        <v>0</v>
      </c>
      <c r="CT84" s="16">
        <f t="shared" si="15"/>
        <v>0</v>
      </c>
      <c r="CU84" s="16">
        <f t="shared" si="15"/>
        <v>0</v>
      </c>
      <c r="CV84" s="16">
        <f t="shared" si="15"/>
        <v>0</v>
      </c>
      <c r="CW84" s="16">
        <f>CW86+CW88+CW90+CW92</f>
        <v>0</v>
      </c>
    </row>
    <row r="85" spans="1:101" x14ac:dyDescent="0.25">
      <c r="A85" s="12" t="s">
        <v>162</v>
      </c>
      <c r="B85" s="13" t="s">
        <v>102</v>
      </c>
      <c r="C85" s="72">
        <f>C87+C89+C91+C93</f>
        <v>4643.9099999999989</v>
      </c>
      <c r="D85" s="72">
        <f t="shared" si="14"/>
        <v>0</v>
      </c>
      <c r="E85" s="72">
        <f t="shared" si="14"/>
        <v>0</v>
      </c>
      <c r="F85" s="72">
        <f t="shared" si="14"/>
        <v>0</v>
      </c>
      <c r="G85" s="72">
        <f t="shared" si="14"/>
        <v>0</v>
      </c>
      <c r="H85" s="72">
        <f t="shared" si="14"/>
        <v>0</v>
      </c>
      <c r="I85" s="72">
        <f t="shared" si="14"/>
        <v>803.68</v>
      </c>
      <c r="J85" s="72">
        <f t="shared" si="14"/>
        <v>0</v>
      </c>
      <c r="K85" s="72">
        <f t="shared" si="14"/>
        <v>0</v>
      </c>
      <c r="L85" s="72">
        <f t="shared" si="14"/>
        <v>0</v>
      </c>
      <c r="M85" s="72">
        <f t="shared" si="14"/>
        <v>43.5</v>
      </c>
      <c r="N85" s="72">
        <f t="shared" si="14"/>
        <v>59.74</v>
      </c>
      <c r="O85" s="72">
        <f t="shared" si="14"/>
        <v>0</v>
      </c>
      <c r="P85" s="72">
        <f t="shared" si="14"/>
        <v>0</v>
      </c>
      <c r="Q85" s="72">
        <f t="shared" si="14"/>
        <v>0</v>
      </c>
      <c r="R85" s="72">
        <f t="shared" si="14"/>
        <v>0</v>
      </c>
      <c r="S85" s="72">
        <f t="shared" si="14"/>
        <v>0</v>
      </c>
      <c r="T85" s="72">
        <f t="shared" si="14"/>
        <v>0</v>
      </c>
      <c r="U85" s="72">
        <f t="shared" si="14"/>
        <v>0</v>
      </c>
      <c r="V85" s="72">
        <f t="shared" si="14"/>
        <v>0</v>
      </c>
      <c r="W85" s="72">
        <f t="shared" si="14"/>
        <v>0</v>
      </c>
      <c r="X85" s="72">
        <f t="shared" si="14"/>
        <v>0</v>
      </c>
      <c r="Y85" s="72">
        <f t="shared" si="14"/>
        <v>0</v>
      </c>
      <c r="Z85" s="72">
        <f t="shared" si="14"/>
        <v>0</v>
      </c>
      <c r="AA85" s="72">
        <f t="shared" si="14"/>
        <v>0</v>
      </c>
      <c r="AB85" s="72">
        <f t="shared" si="14"/>
        <v>0</v>
      </c>
      <c r="AC85" s="72">
        <f t="shared" si="14"/>
        <v>45.36</v>
      </c>
      <c r="AD85" s="72">
        <f t="shared" si="14"/>
        <v>0</v>
      </c>
      <c r="AE85" s="72">
        <f t="shared" si="14"/>
        <v>0</v>
      </c>
      <c r="AF85" s="72">
        <f t="shared" si="14"/>
        <v>0</v>
      </c>
      <c r="AG85" s="72">
        <f t="shared" si="14"/>
        <v>0</v>
      </c>
      <c r="AH85" s="72">
        <f t="shared" si="14"/>
        <v>0</v>
      </c>
      <c r="AI85" s="72">
        <f t="shared" si="14"/>
        <v>0</v>
      </c>
      <c r="AJ85" s="72">
        <f t="shared" si="14"/>
        <v>0</v>
      </c>
      <c r="AK85" s="72">
        <f t="shared" si="14"/>
        <v>0</v>
      </c>
      <c r="AL85" s="72">
        <f t="shared" si="14"/>
        <v>0</v>
      </c>
      <c r="AM85" s="72">
        <f>AM87+AM89+AM91+AM93</f>
        <v>0</v>
      </c>
      <c r="AN85" s="72">
        <f t="shared" si="14"/>
        <v>0</v>
      </c>
      <c r="AO85" s="72">
        <f t="shared" si="14"/>
        <v>0</v>
      </c>
      <c r="AP85" s="72">
        <f t="shared" si="14"/>
        <v>0</v>
      </c>
      <c r="AQ85" s="72">
        <f t="shared" si="14"/>
        <v>0</v>
      </c>
      <c r="AR85" s="72">
        <f t="shared" si="14"/>
        <v>0</v>
      </c>
      <c r="AS85" s="72">
        <f t="shared" si="14"/>
        <v>96.7</v>
      </c>
      <c r="AT85" s="72">
        <f t="shared" si="14"/>
        <v>76.27000000000001</v>
      </c>
      <c r="AU85" s="72">
        <f t="shared" si="14"/>
        <v>52.760000000000005</v>
      </c>
      <c r="AV85" s="72">
        <f t="shared" si="14"/>
        <v>0</v>
      </c>
      <c r="AW85" s="72">
        <f t="shared" si="14"/>
        <v>73.94</v>
      </c>
      <c r="AX85" s="72">
        <f t="shared" si="14"/>
        <v>337.11</v>
      </c>
      <c r="AY85" s="72">
        <f t="shared" si="14"/>
        <v>75.960000000000008</v>
      </c>
      <c r="AZ85" s="72">
        <f t="shared" si="14"/>
        <v>100.49000000000001</v>
      </c>
      <c r="BA85" s="72">
        <f t="shared" si="14"/>
        <v>54.69</v>
      </c>
      <c r="BB85" s="72">
        <f t="shared" si="14"/>
        <v>11.56</v>
      </c>
      <c r="BC85" s="72">
        <f t="shared" si="14"/>
        <v>0</v>
      </c>
      <c r="BD85" s="72">
        <f t="shared" si="14"/>
        <v>57.819999999999993</v>
      </c>
      <c r="BE85" s="72">
        <f t="shared" si="14"/>
        <v>69.349999999999994</v>
      </c>
      <c r="BF85" s="72">
        <f t="shared" si="14"/>
        <v>42.16</v>
      </c>
      <c r="BG85" s="72">
        <f t="shared" si="14"/>
        <v>56.08</v>
      </c>
      <c r="BH85" s="72">
        <f t="shared" si="14"/>
        <v>207.35999999999999</v>
      </c>
      <c r="BI85" s="72">
        <f t="shared" si="14"/>
        <v>56.08</v>
      </c>
      <c r="BJ85" s="72">
        <f t="shared" si="14"/>
        <v>73.47999999999999</v>
      </c>
      <c r="BK85" s="16">
        <f>BK87+BK89+BK91+BK93</f>
        <v>220.85999999999999</v>
      </c>
      <c r="BL85" s="72">
        <f t="shared" si="14"/>
        <v>175.64</v>
      </c>
      <c r="BM85" s="72">
        <f t="shared" si="14"/>
        <v>0</v>
      </c>
      <c r="BN85" s="72">
        <f t="shared" si="14"/>
        <v>164.78</v>
      </c>
      <c r="BO85" s="72">
        <f t="shared" si="14"/>
        <v>118.77</v>
      </c>
      <c r="BP85" s="72">
        <f t="shared" si="14"/>
        <v>706.48</v>
      </c>
      <c r="BQ85" s="72">
        <f t="shared" si="15"/>
        <v>178.47</v>
      </c>
      <c r="BR85" s="72">
        <f t="shared" si="15"/>
        <v>64.489999999999995</v>
      </c>
      <c r="BS85" s="72">
        <f t="shared" si="15"/>
        <v>378.04</v>
      </c>
      <c r="BT85" s="72">
        <f t="shared" si="15"/>
        <v>155.19999999999999</v>
      </c>
      <c r="BU85" s="72">
        <f t="shared" si="15"/>
        <v>0</v>
      </c>
      <c r="BV85" s="72">
        <f t="shared" si="15"/>
        <v>0</v>
      </c>
      <c r="BW85" s="72">
        <f t="shared" si="15"/>
        <v>0</v>
      </c>
      <c r="BX85" s="72">
        <f t="shared" si="15"/>
        <v>0</v>
      </c>
      <c r="BY85" s="72">
        <f t="shared" si="15"/>
        <v>87.09</v>
      </c>
      <c r="BZ85" s="72">
        <f t="shared" si="15"/>
        <v>0</v>
      </c>
      <c r="CA85" s="72">
        <f t="shared" si="15"/>
        <v>0</v>
      </c>
      <c r="CB85" s="72">
        <f t="shared" si="15"/>
        <v>0</v>
      </c>
      <c r="CC85" s="72">
        <f t="shared" si="15"/>
        <v>0</v>
      </c>
      <c r="CD85" s="72">
        <f t="shared" si="15"/>
        <v>0</v>
      </c>
      <c r="CE85" s="72">
        <f t="shared" si="15"/>
        <v>0</v>
      </c>
      <c r="CF85" s="72">
        <f t="shared" si="15"/>
        <v>0</v>
      </c>
      <c r="CG85" s="72">
        <f t="shared" si="15"/>
        <v>0</v>
      </c>
      <c r="CH85" s="72">
        <f t="shared" si="15"/>
        <v>0</v>
      </c>
      <c r="CI85" s="72">
        <f t="shared" si="15"/>
        <v>0</v>
      </c>
      <c r="CJ85" s="72">
        <f t="shared" si="15"/>
        <v>0</v>
      </c>
      <c r="CK85" s="72">
        <f t="shared" si="15"/>
        <v>0</v>
      </c>
      <c r="CL85" s="72">
        <f t="shared" si="15"/>
        <v>0</v>
      </c>
      <c r="CM85" s="72">
        <f t="shared" si="15"/>
        <v>0</v>
      </c>
      <c r="CN85" s="72">
        <f t="shared" si="15"/>
        <v>0</v>
      </c>
      <c r="CO85" s="72">
        <f t="shared" si="15"/>
        <v>0</v>
      </c>
      <c r="CP85" s="72">
        <f t="shared" si="15"/>
        <v>0</v>
      </c>
      <c r="CQ85" s="72">
        <f t="shared" si="15"/>
        <v>0</v>
      </c>
      <c r="CR85" s="72">
        <f t="shared" si="15"/>
        <v>0</v>
      </c>
      <c r="CS85" s="72">
        <f t="shared" si="15"/>
        <v>0</v>
      </c>
      <c r="CT85" s="72">
        <f t="shared" si="15"/>
        <v>0</v>
      </c>
      <c r="CU85" s="72">
        <f t="shared" si="15"/>
        <v>0</v>
      </c>
      <c r="CV85" s="72">
        <f t="shared" si="15"/>
        <v>0</v>
      </c>
      <c r="CW85" s="72">
        <f>CW87+CW89+CW91+CW93</f>
        <v>0</v>
      </c>
    </row>
    <row r="86" spans="1:101" x14ac:dyDescent="0.25">
      <c r="A86" s="17" t="s">
        <v>163</v>
      </c>
      <c r="B86" s="18" t="s">
        <v>164</v>
      </c>
      <c r="C86" s="28">
        <f t="shared" ref="C86:C97" si="16">SUM(D86:CV86)</f>
        <v>9.9999999999999992E-2</v>
      </c>
      <c r="D86" s="73"/>
      <c r="E86" s="30"/>
      <c r="F86" s="27"/>
      <c r="G86" s="30"/>
      <c r="H86" s="27"/>
      <c r="I86" s="27"/>
      <c r="J86" s="30"/>
      <c r="K86" s="27"/>
      <c r="L86" s="27"/>
      <c r="M86" s="21"/>
      <c r="N86" s="21"/>
      <c r="O86" s="27"/>
      <c r="P86" s="30"/>
      <c r="Q86" s="21"/>
      <c r="R86" s="27"/>
      <c r="S86" s="27"/>
      <c r="T86" s="27"/>
      <c r="U86" s="74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20"/>
      <c r="AS86" s="21">
        <v>0.02</v>
      </c>
      <c r="AT86" s="75"/>
      <c r="AU86" s="21">
        <v>2.5000000000000001E-2</v>
      </c>
      <c r="AV86" s="74"/>
      <c r="AW86" s="21">
        <v>0.01</v>
      </c>
      <c r="AX86" s="21">
        <v>0.01</v>
      </c>
      <c r="AY86" s="75"/>
      <c r="AZ86" s="75"/>
      <c r="BA86" s="74"/>
      <c r="BB86" s="74"/>
      <c r="BC86" s="64"/>
      <c r="BD86" s="21">
        <v>0.01</v>
      </c>
      <c r="BE86" s="20"/>
      <c r="BF86" s="21"/>
      <c r="BG86" s="21"/>
      <c r="BH86" s="21">
        <v>0.01</v>
      </c>
      <c r="BI86" s="21"/>
      <c r="BJ86" s="21"/>
      <c r="BK86" s="27">
        <v>0.01</v>
      </c>
      <c r="BL86" s="20">
        <v>5.0000000000000001E-3</v>
      </c>
      <c r="BM86" s="21"/>
      <c r="BN86" s="64"/>
      <c r="BO86" s="21"/>
      <c r="BP86" s="30"/>
      <c r="BQ86" s="20"/>
      <c r="BR86" s="20"/>
      <c r="BS86" s="21"/>
      <c r="BT86" s="21"/>
      <c r="BU86" s="20"/>
      <c r="BV86" s="20"/>
      <c r="BW86" s="20"/>
      <c r="BX86" s="21"/>
      <c r="BY86" s="21"/>
      <c r="BZ86" s="20"/>
      <c r="CA86" s="21"/>
      <c r="CB86" s="21"/>
      <c r="CC86" s="21"/>
      <c r="CD86" s="20"/>
      <c r="CE86" s="21"/>
      <c r="CF86" s="21"/>
      <c r="CG86" s="21"/>
      <c r="CH86" s="21"/>
      <c r="CI86" s="20"/>
      <c r="CJ86" s="20"/>
      <c r="CK86" s="21"/>
      <c r="CL86" s="21"/>
      <c r="CM86" s="20"/>
      <c r="CN86" s="20"/>
      <c r="CO86" s="20"/>
      <c r="CP86" s="20"/>
      <c r="CQ86" s="20"/>
      <c r="CR86" s="20"/>
      <c r="CS86" s="21"/>
      <c r="CT86" s="21"/>
      <c r="CU86" s="20"/>
      <c r="CV86" s="21"/>
      <c r="CW86" s="21"/>
    </row>
    <row r="87" spans="1:101" x14ac:dyDescent="0.25">
      <c r="A87" s="17"/>
      <c r="B87" s="18" t="s">
        <v>102</v>
      </c>
      <c r="C87" s="19">
        <f t="shared" si="16"/>
        <v>123.24000000000001</v>
      </c>
      <c r="D87" s="73"/>
      <c r="E87" s="74"/>
      <c r="F87" s="73"/>
      <c r="G87" s="74"/>
      <c r="H87" s="73"/>
      <c r="I87" s="73"/>
      <c r="J87" s="74"/>
      <c r="K87" s="73"/>
      <c r="L87" s="73"/>
      <c r="M87" s="76"/>
      <c r="N87" s="76"/>
      <c r="O87" s="76"/>
      <c r="P87" s="59"/>
      <c r="Q87" s="76"/>
      <c r="R87" s="76"/>
      <c r="S87" s="76"/>
      <c r="T87" s="76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20"/>
      <c r="AS87" s="76">
        <v>23.17</v>
      </c>
      <c r="AT87" s="76"/>
      <c r="AU87" s="76">
        <v>29.64</v>
      </c>
      <c r="AV87" s="59"/>
      <c r="AW87" s="76">
        <v>11.59</v>
      </c>
      <c r="AX87" s="76">
        <v>11.59</v>
      </c>
      <c r="AY87" s="59"/>
      <c r="AZ87" s="59"/>
      <c r="BA87" s="77"/>
      <c r="BB87" s="77"/>
      <c r="BC87" s="76"/>
      <c r="BD87" s="76">
        <v>11.59</v>
      </c>
      <c r="BE87" s="59"/>
      <c r="BF87" s="76"/>
      <c r="BG87" s="76"/>
      <c r="BH87" s="76">
        <v>14.82</v>
      </c>
      <c r="BI87" s="76"/>
      <c r="BJ87" s="76"/>
      <c r="BK87" s="76">
        <v>14.91</v>
      </c>
      <c r="BL87" s="76">
        <v>5.93</v>
      </c>
      <c r="BM87" s="76"/>
      <c r="BN87" s="59"/>
      <c r="BO87" s="76"/>
      <c r="BP87" s="59"/>
      <c r="BQ87" s="59"/>
      <c r="BR87" s="59"/>
      <c r="BS87" s="76"/>
      <c r="BT87" s="76"/>
      <c r="BU87" s="76"/>
      <c r="BV87" s="59"/>
      <c r="BW87" s="59"/>
      <c r="BX87" s="76"/>
      <c r="BY87" s="76"/>
      <c r="BZ87" s="76"/>
      <c r="CA87" s="76"/>
      <c r="CB87" s="76"/>
      <c r="CC87" s="76"/>
      <c r="CD87" s="59"/>
      <c r="CE87" s="76"/>
      <c r="CF87" s="76"/>
      <c r="CG87" s="76"/>
      <c r="CH87" s="76"/>
      <c r="CI87" s="59"/>
      <c r="CJ87" s="59"/>
      <c r="CK87" s="76"/>
      <c r="CL87" s="76"/>
      <c r="CM87" s="59"/>
      <c r="CN87" s="59"/>
      <c r="CO87" s="59"/>
      <c r="CP87" s="59"/>
      <c r="CQ87" s="59"/>
      <c r="CR87" s="59"/>
      <c r="CS87" s="76"/>
      <c r="CT87" s="76"/>
      <c r="CU87" s="59"/>
      <c r="CV87" s="76"/>
      <c r="CW87" s="76"/>
    </row>
    <row r="88" spans="1:101" ht="21" customHeight="1" x14ac:dyDescent="0.25">
      <c r="A88" s="17" t="s">
        <v>165</v>
      </c>
      <c r="B88" s="18" t="s">
        <v>132</v>
      </c>
      <c r="C88" s="28">
        <f t="shared" si="16"/>
        <v>1.3256000000000003</v>
      </c>
      <c r="D88" s="30"/>
      <c r="E88" s="30"/>
      <c r="F88" s="21"/>
      <c r="G88" s="27"/>
      <c r="H88" s="27"/>
      <c r="I88" s="27">
        <v>0.214</v>
      </c>
      <c r="J88" s="30"/>
      <c r="K88" s="27"/>
      <c r="L88" s="27"/>
      <c r="M88" s="30">
        <v>1.3599999999999999E-2</v>
      </c>
      <c r="N88" s="27"/>
      <c r="O88" s="27"/>
      <c r="P88" s="27"/>
      <c r="Q88" s="30"/>
      <c r="R88" s="27"/>
      <c r="S88" s="30"/>
      <c r="T88" s="27"/>
      <c r="U88" s="27"/>
      <c r="V88" s="27"/>
      <c r="W88" s="30"/>
      <c r="X88" s="30"/>
      <c r="Y88" s="30"/>
      <c r="Z88" s="30"/>
      <c r="AA88" s="30"/>
      <c r="AB88" s="30"/>
      <c r="AC88" s="30">
        <v>1.4999999999999999E-2</v>
      </c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27"/>
      <c r="AS88" s="21">
        <v>0.01</v>
      </c>
      <c r="AT88" s="27">
        <v>0.01</v>
      </c>
      <c r="AU88" s="21"/>
      <c r="AV88" s="74"/>
      <c r="AW88" s="75"/>
      <c r="AX88" s="75">
        <v>7.1999999999999995E-2</v>
      </c>
      <c r="AY88" s="73">
        <v>0.03</v>
      </c>
      <c r="AZ88" s="75">
        <v>0.03</v>
      </c>
      <c r="BA88" s="21">
        <v>0.01</v>
      </c>
      <c r="BB88" s="74"/>
      <c r="BC88" s="21"/>
      <c r="BD88" s="20"/>
      <c r="BE88" s="20"/>
      <c r="BF88" s="21">
        <v>2E-3</v>
      </c>
      <c r="BG88" s="21">
        <v>0.01</v>
      </c>
      <c r="BH88" s="21">
        <v>0.06</v>
      </c>
      <c r="BI88" s="21">
        <v>0.01</v>
      </c>
      <c r="BJ88" s="30">
        <v>0.02</v>
      </c>
      <c r="BK88" s="27">
        <v>3.7999999999999999E-2</v>
      </c>
      <c r="BL88" s="20">
        <v>0.03</v>
      </c>
      <c r="BM88" s="75"/>
      <c r="BN88" s="21">
        <v>3.7999999999999999E-2</v>
      </c>
      <c r="BO88" s="21">
        <v>0.03</v>
      </c>
      <c r="BP88" s="30">
        <f>0.1+0.044*3</f>
        <v>0.23200000000000001</v>
      </c>
      <c r="BQ88" s="20">
        <f>0.07</f>
        <v>7.0000000000000007E-2</v>
      </c>
      <c r="BR88" s="20">
        <v>3.5000000000000003E-2</v>
      </c>
      <c r="BS88" s="21">
        <v>0.224</v>
      </c>
      <c r="BT88" s="21">
        <v>7.8E-2</v>
      </c>
      <c r="BU88" s="20"/>
      <c r="BV88" s="20"/>
      <c r="BW88" s="20"/>
      <c r="BX88" s="21"/>
      <c r="BY88" s="21">
        <v>4.3999999999999997E-2</v>
      </c>
      <c r="BZ88" s="20"/>
      <c r="CA88" s="21"/>
      <c r="CB88" s="21"/>
      <c r="CC88" s="21"/>
      <c r="CD88" s="20"/>
      <c r="CE88" s="21"/>
      <c r="CF88" s="21"/>
      <c r="CG88" s="21"/>
      <c r="CH88" s="21"/>
      <c r="CI88" s="20"/>
      <c r="CJ88" s="20"/>
      <c r="CK88" s="21"/>
      <c r="CL88" s="21"/>
      <c r="CM88" s="20"/>
      <c r="CN88" s="20"/>
      <c r="CO88" s="20"/>
      <c r="CP88" s="20"/>
      <c r="CQ88" s="20"/>
      <c r="CR88" s="20"/>
      <c r="CS88" s="27"/>
      <c r="CT88" s="27"/>
      <c r="CU88" s="20"/>
      <c r="CV88" s="21"/>
      <c r="CW88" s="21"/>
    </row>
    <row r="89" spans="1:101" x14ac:dyDescent="0.25">
      <c r="A89" s="17"/>
      <c r="B89" s="18" t="s">
        <v>102</v>
      </c>
      <c r="C89" s="19">
        <f t="shared" si="16"/>
        <v>3389.1899999999996</v>
      </c>
      <c r="D89" s="59"/>
      <c r="E89" s="59"/>
      <c r="F89" s="76"/>
      <c r="G89" s="76"/>
      <c r="H89" s="76"/>
      <c r="I89" s="76">
        <v>803.68</v>
      </c>
      <c r="J89" s="59"/>
      <c r="K89" s="76"/>
      <c r="L89" s="76"/>
      <c r="M89" s="59">
        <v>43.5</v>
      </c>
      <c r="N89" s="76"/>
      <c r="O89" s="76"/>
      <c r="P89" s="76"/>
      <c r="Q89" s="59"/>
      <c r="R89" s="76"/>
      <c r="S89" s="59"/>
      <c r="T89" s="76"/>
      <c r="U89" s="76"/>
      <c r="V89" s="76"/>
      <c r="W89" s="59"/>
      <c r="X89" s="59"/>
      <c r="Y89" s="59"/>
      <c r="Z89" s="59"/>
      <c r="AA89" s="59"/>
      <c r="AB89" s="59"/>
      <c r="AC89" s="59">
        <v>45.36</v>
      </c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76"/>
      <c r="AS89" s="76">
        <v>12.34</v>
      </c>
      <c r="AT89" s="76">
        <v>14.49</v>
      </c>
      <c r="AU89" s="76"/>
      <c r="AV89" s="59"/>
      <c r="AW89" s="76"/>
      <c r="AX89" s="76">
        <f>49.35+128.47</f>
        <v>177.82</v>
      </c>
      <c r="AY89" s="58">
        <v>36.93</v>
      </c>
      <c r="AZ89" s="76">
        <v>37.01</v>
      </c>
      <c r="BA89" s="76">
        <v>16.329999999999998</v>
      </c>
      <c r="BB89" s="74"/>
      <c r="BC89" s="76"/>
      <c r="BD89" s="59"/>
      <c r="BE89" s="59"/>
      <c r="BF89" s="76">
        <v>3.48</v>
      </c>
      <c r="BG89" s="76">
        <v>17.399999999999999</v>
      </c>
      <c r="BH89" s="76">
        <v>98</v>
      </c>
      <c r="BI89" s="76">
        <v>17.399999999999999</v>
      </c>
      <c r="BJ89" s="59">
        <v>34.799999999999997</v>
      </c>
      <c r="BK89" s="76">
        <v>153.12</v>
      </c>
      <c r="BL89" s="76">
        <v>37.01</v>
      </c>
      <c r="BM89" s="76"/>
      <c r="BN89" s="76">
        <v>164.78</v>
      </c>
      <c r="BO89" s="76">
        <v>118.77</v>
      </c>
      <c r="BP89" s="59">
        <f>306.16+133.44*3</f>
        <v>706.48</v>
      </c>
      <c r="BQ89" s="59">
        <f>178.47*1</f>
        <v>178.47</v>
      </c>
      <c r="BR89" s="59">
        <v>64.489999999999995</v>
      </c>
      <c r="BS89" s="76">
        <v>378.04</v>
      </c>
      <c r="BT89" s="76">
        <v>155.19999999999999</v>
      </c>
      <c r="BU89" s="76"/>
      <c r="BV89" s="59"/>
      <c r="BW89" s="59"/>
      <c r="BX89" s="76"/>
      <c r="BY89" s="76">
        <v>74.290000000000006</v>
      </c>
      <c r="BZ89" s="76"/>
      <c r="CA89" s="76"/>
      <c r="CB89" s="76"/>
      <c r="CC89" s="76"/>
      <c r="CD89" s="59"/>
      <c r="CE89" s="76"/>
      <c r="CF89" s="76"/>
      <c r="CG89" s="76"/>
      <c r="CH89" s="76"/>
      <c r="CI89" s="59"/>
      <c r="CJ89" s="59"/>
      <c r="CK89" s="76"/>
      <c r="CL89" s="76"/>
      <c r="CM89" s="59"/>
      <c r="CN89" s="59"/>
      <c r="CO89" s="59"/>
      <c r="CP89" s="59"/>
      <c r="CQ89" s="59"/>
      <c r="CR89" s="59"/>
      <c r="CS89" s="76"/>
      <c r="CT89" s="76"/>
      <c r="CU89" s="59"/>
      <c r="CV89" s="76"/>
      <c r="CW89" s="76"/>
    </row>
    <row r="90" spans="1:101" x14ac:dyDescent="0.25">
      <c r="A90" s="17" t="s">
        <v>166</v>
      </c>
      <c r="B90" s="18" t="s">
        <v>132</v>
      </c>
      <c r="C90" s="28">
        <f t="shared" si="16"/>
        <v>0.24500000000000005</v>
      </c>
      <c r="D90" s="73"/>
      <c r="E90" s="30"/>
      <c r="F90" s="27"/>
      <c r="G90" s="30"/>
      <c r="H90" s="27"/>
      <c r="I90" s="27"/>
      <c r="J90" s="30"/>
      <c r="K90" s="27"/>
      <c r="L90" s="27"/>
      <c r="M90" s="21"/>
      <c r="N90" s="21">
        <v>0.04</v>
      </c>
      <c r="O90" s="27"/>
      <c r="P90" s="30"/>
      <c r="Q90" s="21"/>
      <c r="R90" s="27"/>
      <c r="S90" s="27"/>
      <c r="T90" s="27"/>
      <c r="U90" s="74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73">
        <v>0.01</v>
      </c>
      <c r="AT90" s="75">
        <v>0.01</v>
      </c>
      <c r="AU90" s="75"/>
      <c r="AV90" s="74"/>
      <c r="AW90" s="75">
        <v>0.01</v>
      </c>
      <c r="AX90" s="20">
        <v>0.05</v>
      </c>
      <c r="AY90" s="21">
        <v>0.01</v>
      </c>
      <c r="AZ90" s="20">
        <v>0.03</v>
      </c>
      <c r="BA90" s="21">
        <v>0.01</v>
      </c>
      <c r="BB90" s="74"/>
      <c r="BC90" s="21"/>
      <c r="BD90" s="20"/>
      <c r="BE90" s="20"/>
      <c r="BF90" s="20">
        <v>0.01</v>
      </c>
      <c r="BG90" s="21">
        <v>0.01</v>
      </c>
      <c r="BH90" s="21">
        <v>0.01</v>
      </c>
      <c r="BI90" s="21">
        <v>0.01</v>
      </c>
      <c r="BJ90" s="21">
        <v>0.01</v>
      </c>
      <c r="BK90" s="27">
        <v>5.0000000000000001E-3</v>
      </c>
      <c r="BL90" s="20">
        <v>0.02</v>
      </c>
      <c r="BM90" s="21"/>
      <c r="BN90" s="73"/>
      <c r="BO90" s="21"/>
      <c r="BP90" s="30"/>
      <c r="BQ90" s="20"/>
      <c r="BR90" s="20"/>
      <c r="BS90" s="21"/>
      <c r="BT90" s="21"/>
      <c r="BU90" s="20"/>
      <c r="BV90" s="20"/>
      <c r="BW90" s="20"/>
      <c r="BX90" s="21"/>
      <c r="BY90" s="21"/>
      <c r="BZ90" s="20"/>
      <c r="CA90" s="21"/>
      <c r="CB90" s="21"/>
      <c r="CC90" s="21"/>
      <c r="CD90" s="20"/>
      <c r="CE90" s="21"/>
      <c r="CF90" s="21"/>
      <c r="CG90" s="21"/>
      <c r="CH90" s="21"/>
      <c r="CI90" s="20"/>
      <c r="CJ90" s="20"/>
      <c r="CK90" s="21"/>
      <c r="CL90" s="21"/>
      <c r="CM90" s="20"/>
      <c r="CN90" s="20"/>
      <c r="CO90" s="20"/>
      <c r="CP90" s="20"/>
      <c r="CQ90" s="20"/>
      <c r="CR90" s="20"/>
      <c r="CS90" s="21"/>
      <c r="CT90" s="21"/>
      <c r="CU90" s="20"/>
      <c r="CV90" s="21"/>
      <c r="CW90" s="21"/>
    </row>
    <row r="91" spans="1:101" x14ac:dyDescent="0.25">
      <c r="A91" s="17"/>
      <c r="B91" s="18" t="s">
        <v>102</v>
      </c>
      <c r="C91" s="19">
        <f t="shared" si="16"/>
        <v>376.33</v>
      </c>
      <c r="D91" s="73"/>
      <c r="E91" s="74"/>
      <c r="F91" s="73"/>
      <c r="G91" s="74"/>
      <c r="H91" s="59"/>
      <c r="I91" s="73"/>
      <c r="J91" s="74"/>
      <c r="K91" s="73"/>
      <c r="L91" s="73"/>
      <c r="M91" s="76"/>
      <c r="N91" s="76">
        <v>59.74</v>
      </c>
      <c r="O91" s="76"/>
      <c r="P91" s="59"/>
      <c r="Q91" s="76"/>
      <c r="R91" s="73"/>
      <c r="S91" s="73"/>
      <c r="T91" s="73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>
        <v>16.149999999999999</v>
      </c>
      <c r="AT91" s="59">
        <v>15.58</v>
      </c>
      <c r="AU91" s="76"/>
      <c r="AV91" s="59"/>
      <c r="AW91" s="76">
        <v>16.149999999999999</v>
      </c>
      <c r="AX91" s="59">
        <v>80.73</v>
      </c>
      <c r="AY91" s="59">
        <v>15.91</v>
      </c>
      <c r="AZ91" s="59">
        <v>40.36</v>
      </c>
      <c r="BA91" s="59">
        <v>15.24</v>
      </c>
      <c r="BB91" s="74"/>
      <c r="BC91" s="59"/>
      <c r="BD91" s="59"/>
      <c r="BE91" s="59"/>
      <c r="BF91" s="59">
        <v>15.58</v>
      </c>
      <c r="BG91" s="76">
        <v>15.58</v>
      </c>
      <c r="BH91" s="76">
        <v>15.45</v>
      </c>
      <c r="BI91" s="76">
        <v>15.58</v>
      </c>
      <c r="BJ91" s="59">
        <v>15.58</v>
      </c>
      <c r="BK91" s="59">
        <v>7.79</v>
      </c>
      <c r="BL91" s="59">
        <v>30.91</v>
      </c>
      <c r="BM91" s="76"/>
      <c r="BN91" s="59"/>
      <c r="BO91" s="76"/>
      <c r="BP91" s="59"/>
      <c r="BQ91" s="59"/>
      <c r="BR91" s="59"/>
      <c r="BS91" s="76"/>
      <c r="BT91" s="76"/>
      <c r="BU91" s="76"/>
      <c r="BV91" s="59"/>
      <c r="BW91" s="59"/>
      <c r="BX91" s="76"/>
      <c r="BY91" s="76"/>
      <c r="BZ91" s="59"/>
      <c r="CA91" s="76"/>
      <c r="CB91" s="76"/>
      <c r="CC91" s="76"/>
      <c r="CD91" s="59"/>
      <c r="CE91" s="76"/>
      <c r="CF91" s="76"/>
      <c r="CG91" s="76"/>
      <c r="CH91" s="76"/>
      <c r="CI91" s="59"/>
      <c r="CJ91" s="59"/>
      <c r="CK91" s="76"/>
      <c r="CL91" s="76"/>
      <c r="CM91" s="59"/>
      <c r="CN91" s="59"/>
      <c r="CO91" s="59"/>
      <c r="CP91" s="59"/>
      <c r="CQ91" s="59"/>
      <c r="CR91" s="59"/>
      <c r="CS91" s="76"/>
      <c r="CT91" s="76"/>
      <c r="CU91" s="59"/>
      <c r="CV91" s="24"/>
      <c r="CW91" s="24"/>
    </row>
    <row r="92" spans="1:101" x14ac:dyDescent="0.25">
      <c r="A92" s="17" t="s">
        <v>167</v>
      </c>
      <c r="B92" s="18" t="s">
        <v>132</v>
      </c>
      <c r="C92" s="28">
        <f t="shared" si="16"/>
        <v>0.32750000000000001</v>
      </c>
      <c r="D92" s="30"/>
      <c r="E92" s="30"/>
      <c r="F92" s="27"/>
      <c r="G92" s="30"/>
      <c r="H92" s="27"/>
      <c r="I92" s="21"/>
      <c r="J92" s="27"/>
      <c r="K92" s="27"/>
      <c r="L92" s="27"/>
      <c r="M92" s="27"/>
      <c r="N92" s="27"/>
      <c r="O92" s="27"/>
      <c r="P92" s="27"/>
      <c r="Q92" s="21"/>
      <c r="R92" s="27"/>
      <c r="S92" s="27"/>
      <c r="T92" s="27"/>
      <c r="U92" s="74"/>
      <c r="V92" s="30"/>
      <c r="W92" s="30"/>
      <c r="X92" s="30"/>
      <c r="Y92" s="30"/>
      <c r="Z92" s="30"/>
      <c r="AA92" s="74"/>
      <c r="AB92" s="30"/>
      <c r="AC92" s="30"/>
      <c r="AD92" s="30"/>
      <c r="AE92" s="30"/>
      <c r="AF92" s="30"/>
      <c r="AG92" s="30"/>
      <c r="AH92" s="30"/>
      <c r="AI92" s="27"/>
      <c r="AJ92" s="30"/>
      <c r="AK92" s="30"/>
      <c r="AL92" s="30"/>
      <c r="AM92" s="30"/>
      <c r="AN92" s="30"/>
      <c r="AO92" s="30"/>
      <c r="AP92" s="27"/>
      <c r="AQ92" s="30"/>
      <c r="AR92" s="30"/>
      <c r="AS92" s="27">
        <v>0.02</v>
      </c>
      <c r="AT92" s="27">
        <v>0.02</v>
      </c>
      <c r="AU92" s="27">
        <v>0.01</v>
      </c>
      <c r="AV92" s="27"/>
      <c r="AW92" s="27">
        <v>0.02</v>
      </c>
      <c r="AX92" s="21">
        <v>0.03</v>
      </c>
      <c r="AY92" s="21">
        <v>0.01</v>
      </c>
      <c r="AZ92" s="21">
        <v>0.01</v>
      </c>
      <c r="BA92" s="21">
        <v>0.01</v>
      </c>
      <c r="BB92" s="21">
        <v>5.0000000000000001E-3</v>
      </c>
      <c r="BC92" s="21"/>
      <c r="BD92" s="21">
        <v>0.02</v>
      </c>
      <c r="BE92" s="20">
        <v>0.03</v>
      </c>
      <c r="BF92" s="21">
        <v>0.01</v>
      </c>
      <c r="BG92" s="27">
        <v>0.01</v>
      </c>
      <c r="BH92" s="21">
        <v>3.5000000000000003E-2</v>
      </c>
      <c r="BI92" s="21">
        <v>0.01</v>
      </c>
      <c r="BJ92" s="21">
        <v>0.01</v>
      </c>
      <c r="BK92" s="27">
        <v>0.02</v>
      </c>
      <c r="BL92" s="20">
        <v>4.4999999999999998E-2</v>
      </c>
      <c r="BM92" s="21"/>
      <c r="BN92" s="73"/>
      <c r="BO92" s="21"/>
      <c r="BP92" s="30"/>
      <c r="BQ92" s="30"/>
      <c r="BR92" s="20"/>
      <c r="BS92" s="27"/>
      <c r="BT92" s="21"/>
      <c r="BU92" s="20"/>
      <c r="BV92" s="20"/>
      <c r="BW92" s="20"/>
      <c r="BX92" s="21"/>
      <c r="BY92" s="27">
        <v>2.5000000000000001E-3</v>
      </c>
      <c r="BZ92" s="20"/>
      <c r="CA92" s="21"/>
      <c r="CB92" s="21"/>
      <c r="CC92" s="20"/>
      <c r="CD92" s="20"/>
      <c r="CE92" s="21"/>
      <c r="CF92" s="21"/>
      <c r="CG92" s="21"/>
      <c r="CH92" s="21"/>
      <c r="CI92" s="20"/>
      <c r="CJ92" s="20"/>
      <c r="CK92" s="21"/>
      <c r="CL92" s="21"/>
      <c r="CM92" s="20"/>
      <c r="CN92" s="20"/>
      <c r="CO92" s="20"/>
      <c r="CP92" s="20"/>
      <c r="CQ92" s="20"/>
      <c r="CR92" s="20"/>
      <c r="CS92" s="21"/>
      <c r="CT92" s="21"/>
      <c r="CU92" s="20"/>
      <c r="CV92" s="21"/>
      <c r="CW92" s="21"/>
    </row>
    <row r="93" spans="1:101" x14ac:dyDescent="0.25">
      <c r="A93" s="17"/>
      <c r="B93" s="18" t="s">
        <v>102</v>
      </c>
      <c r="C93" s="19">
        <f t="shared" si="16"/>
        <v>755.15</v>
      </c>
      <c r="D93" s="59"/>
      <c r="E93" s="59"/>
      <c r="F93" s="76"/>
      <c r="G93" s="59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3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76"/>
      <c r="AJ93" s="59"/>
      <c r="AK93" s="59"/>
      <c r="AL93" s="59"/>
      <c r="AM93" s="59"/>
      <c r="AN93" s="59"/>
      <c r="AO93" s="59"/>
      <c r="AP93" s="76"/>
      <c r="AQ93" s="59"/>
      <c r="AR93" s="59"/>
      <c r="AS93" s="76">
        <v>45.04</v>
      </c>
      <c r="AT93" s="76">
        <v>46.2</v>
      </c>
      <c r="AU93" s="76">
        <v>23.12</v>
      </c>
      <c r="AV93" s="76"/>
      <c r="AW93" s="76">
        <v>46.2</v>
      </c>
      <c r="AX93" s="76">
        <v>66.97</v>
      </c>
      <c r="AY93" s="76">
        <v>23.12</v>
      </c>
      <c r="AZ93" s="76">
        <v>23.12</v>
      </c>
      <c r="BA93" s="76">
        <v>23.12</v>
      </c>
      <c r="BB93" s="76">
        <v>11.56</v>
      </c>
      <c r="BC93" s="76"/>
      <c r="BD93" s="76">
        <v>46.23</v>
      </c>
      <c r="BE93" s="59">
        <v>69.349999999999994</v>
      </c>
      <c r="BF93" s="76">
        <v>23.1</v>
      </c>
      <c r="BG93" s="76">
        <v>23.1</v>
      </c>
      <c r="BH93" s="76">
        <v>79.09</v>
      </c>
      <c r="BI93" s="76">
        <v>23.1</v>
      </c>
      <c r="BJ93" s="76">
        <v>23.1</v>
      </c>
      <c r="BK93" s="76">
        <v>45.04</v>
      </c>
      <c r="BL93" s="76">
        <v>101.79</v>
      </c>
      <c r="BM93" s="76"/>
      <c r="BN93" s="59"/>
      <c r="BO93" s="76"/>
      <c r="BP93" s="76"/>
      <c r="BQ93" s="59"/>
      <c r="BR93" s="59"/>
      <c r="BS93" s="76"/>
      <c r="BT93" s="76"/>
      <c r="BU93" s="76"/>
      <c r="BV93" s="59"/>
      <c r="BW93" s="59"/>
      <c r="BX93" s="76"/>
      <c r="BY93" s="76">
        <v>12.8</v>
      </c>
      <c r="BZ93" s="76"/>
      <c r="CA93" s="76"/>
      <c r="CB93" s="76"/>
      <c r="CC93" s="76"/>
      <c r="CD93" s="59"/>
      <c r="CE93" s="76"/>
      <c r="CF93" s="76"/>
      <c r="CG93" s="76"/>
      <c r="CH93" s="76"/>
      <c r="CI93" s="59"/>
      <c r="CJ93" s="59"/>
      <c r="CK93" s="76"/>
      <c r="CL93" s="76"/>
      <c r="CM93" s="59"/>
      <c r="CN93" s="59"/>
      <c r="CO93" s="59"/>
      <c r="CP93" s="59"/>
      <c r="CQ93" s="59"/>
      <c r="CR93" s="59"/>
      <c r="CS93" s="76"/>
      <c r="CT93" s="76"/>
      <c r="CU93" s="76"/>
      <c r="CV93" s="76"/>
      <c r="CW93" s="76"/>
    </row>
    <row r="94" spans="1:101" s="1" customFormat="1" x14ac:dyDescent="0.25">
      <c r="A94" s="52" t="s">
        <v>168</v>
      </c>
      <c r="B94" s="18" t="s">
        <v>121</v>
      </c>
      <c r="C94" s="36">
        <f t="shared" si="16"/>
        <v>86</v>
      </c>
      <c r="D94" s="47"/>
      <c r="E94" s="20"/>
      <c r="F94" s="20"/>
      <c r="G94" s="20"/>
      <c r="H94" s="20"/>
      <c r="I94" s="47"/>
      <c r="J94" s="20"/>
      <c r="K94" s="20"/>
      <c r="L94" s="20">
        <v>1</v>
      </c>
      <c r="M94" s="20"/>
      <c r="N94" s="20"/>
      <c r="O94" s="20"/>
      <c r="P94" s="20"/>
      <c r="Q94" s="20"/>
      <c r="R94" s="20">
        <v>1</v>
      </c>
      <c r="S94" s="20"/>
      <c r="T94" s="20"/>
      <c r="U94" s="47"/>
      <c r="V94" s="20"/>
      <c r="W94" s="20"/>
      <c r="X94" s="20"/>
      <c r="Y94" s="20"/>
      <c r="Z94" s="20"/>
      <c r="AA94" s="20"/>
      <c r="AB94" s="20">
        <v>1</v>
      </c>
      <c r="AC94" s="20">
        <v>1</v>
      </c>
      <c r="AD94" s="20"/>
      <c r="AE94" s="20"/>
      <c r="AF94" s="20"/>
      <c r="AG94" s="38">
        <f>1*3</f>
        <v>3</v>
      </c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78"/>
      <c r="AT94" s="78"/>
      <c r="AU94" s="78"/>
      <c r="AV94" s="78"/>
      <c r="AW94" s="78"/>
      <c r="AX94" s="78">
        <v>20</v>
      </c>
      <c r="AY94" s="78">
        <v>20</v>
      </c>
      <c r="AZ94" s="78">
        <v>20</v>
      </c>
      <c r="BA94" s="20">
        <v>3</v>
      </c>
      <c r="BB94" s="78">
        <v>2</v>
      </c>
      <c r="BC94" s="20"/>
      <c r="BD94" s="20"/>
      <c r="BE94" s="20"/>
      <c r="BF94" s="20">
        <v>1</v>
      </c>
      <c r="BG94" s="20">
        <v>1</v>
      </c>
      <c r="BH94" s="20"/>
      <c r="BI94" s="20">
        <v>2</v>
      </c>
      <c r="BJ94" s="20">
        <v>2</v>
      </c>
      <c r="BK94" s="20">
        <v>2</v>
      </c>
      <c r="BL94" s="20">
        <v>5</v>
      </c>
      <c r="BM94" s="20"/>
      <c r="BN94" s="47"/>
      <c r="BO94" s="20"/>
      <c r="BP94" s="38">
        <v>1</v>
      </c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</row>
    <row r="95" spans="1:101" s="1" customFormat="1" x14ac:dyDescent="0.25">
      <c r="A95" s="79"/>
      <c r="B95" s="18" t="s">
        <v>102</v>
      </c>
      <c r="C95" s="19">
        <f t="shared" si="16"/>
        <v>590.85</v>
      </c>
      <c r="D95" s="59"/>
      <c r="E95" s="59"/>
      <c r="F95" s="59"/>
      <c r="G95" s="59"/>
      <c r="H95" s="59"/>
      <c r="I95" s="59"/>
      <c r="J95" s="59"/>
      <c r="K95" s="59"/>
      <c r="L95" s="59">
        <v>6.87</v>
      </c>
      <c r="M95" s="59"/>
      <c r="N95" s="59"/>
      <c r="O95" s="59"/>
      <c r="P95" s="59"/>
      <c r="Q95" s="59"/>
      <c r="R95" s="59">
        <v>6.87</v>
      </c>
      <c r="S95" s="59"/>
      <c r="T95" s="59"/>
      <c r="U95" s="59"/>
      <c r="V95" s="59"/>
      <c r="W95" s="59"/>
      <c r="X95" s="59"/>
      <c r="Y95" s="59"/>
      <c r="Z95" s="59"/>
      <c r="AA95" s="59"/>
      <c r="AB95" s="59">
        <v>6.87</v>
      </c>
      <c r="AC95" s="59">
        <v>6.87</v>
      </c>
      <c r="AD95" s="59"/>
      <c r="AE95" s="59"/>
      <c r="AF95" s="59"/>
      <c r="AG95" s="59">
        <f>6.87*3</f>
        <v>20.61</v>
      </c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23"/>
      <c r="AS95" s="59"/>
      <c r="AT95" s="59"/>
      <c r="AU95" s="59"/>
      <c r="AV95" s="59"/>
      <c r="AW95" s="59"/>
      <c r="AX95" s="59">
        <v>137.41</v>
      </c>
      <c r="AY95" s="59">
        <v>137.41</v>
      </c>
      <c r="AZ95" s="59">
        <v>137.41</v>
      </c>
      <c r="BA95" s="59">
        <v>20.61</v>
      </c>
      <c r="BB95" s="59">
        <v>13.74</v>
      </c>
      <c r="BC95" s="59"/>
      <c r="BD95" s="59"/>
      <c r="BE95" s="59"/>
      <c r="BF95" s="59">
        <v>6.87</v>
      </c>
      <c r="BG95" s="59">
        <v>6.87</v>
      </c>
      <c r="BH95" s="59"/>
      <c r="BI95" s="59">
        <v>13.74</v>
      </c>
      <c r="BJ95" s="59">
        <v>13.74</v>
      </c>
      <c r="BK95" s="59">
        <v>13.74</v>
      </c>
      <c r="BL95" s="59">
        <v>34.35</v>
      </c>
      <c r="BM95" s="59"/>
      <c r="BN95" s="59"/>
      <c r="BO95" s="59"/>
      <c r="BP95" s="59">
        <v>6.87</v>
      </c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23"/>
      <c r="CW95" s="23"/>
    </row>
    <row r="96" spans="1:101" x14ac:dyDescent="0.25">
      <c r="A96" s="46" t="s">
        <v>169</v>
      </c>
      <c r="B96" s="18" t="s">
        <v>121</v>
      </c>
      <c r="C96" s="36">
        <f t="shared" si="16"/>
        <v>382</v>
      </c>
      <c r="D96" s="64"/>
      <c r="E96" s="20"/>
      <c r="F96" s="21"/>
      <c r="G96" s="20"/>
      <c r="H96" s="21"/>
      <c r="I96" s="80">
        <v>1</v>
      </c>
      <c r="J96" s="20"/>
      <c r="K96" s="21"/>
      <c r="L96" s="21"/>
      <c r="M96" s="21">
        <v>70</v>
      </c>
      <c r="N96" s="21"/>
      <c r="O96" s="21"/>
      <c r="P96" s="20"/>
      <c r="Q96" s="21"/>
      <c r="R96" s="21"/>
      <c r="S96" s="21"/>
      <c r="T96" s="21"/>
      <c r="U96" s="64"/>
      <c r="V96" s="20"/>
      <c r="W96" s="20"/>
      <c r="X96" s="21"/>
      <c r="Y96" s="21"/>
      <c r="Z96" s="63"/>
      <c r="AA96" s="21"/>
      <c r="AB96" s="20"/>
      <c r="AC96" s="21"/>
      <c r="AD96" s="21"/>
      <c r="AE96" s="21"/>
      <c r="AF96" s="20"/>
      <c r="AG96" s="21"/>
      <c r="AH96" s="21"/>
      <c r="AI96" s="21"/>
      <c r="AJ96" s="63"/>
      <c r="AK96" s="21"/>
      <c r="AL96" s="20"/>
      <c r="AM96" s="20"/>
      <c r="AN96" s="20"/>
      <c r="AO96" s="21"/>
      <c r="AP96" s="21"/>
      <c r="AQ96" s="21"/>
      <c r="AR96" s="21"/>
      <c r="AS96" s="81">
        <v>20</v>
      </c>
      <c r="AT96" s="81">
        <v>10</v>
      </c>
      <c r="AU96" s="80">
        <v>10</v>
      </c>
      <c r="AV96" s="78"/>
      <c r="AW96" s="80">
        <v>15</v>
      </c>
      <c r="AX96" s="21">
        <v>40</v>
      </c>
      <c r="AY96" s="80">
        <v>15</v>
      </c>
      <c r="AZ96" s="80">
        <v>20</v>
      </c>
      <c r="BA96" s="60">
        <f>11+2+1</f>
        <v>14</v>
      </c>
      <c r="BB96" s="78">
        <v>10</v>
      </c>
      <c r="BC96" s="64"/>
      <c r="BD96" s="21">
        <v>10</v>
      </c>
      <c r="BE96" s="20"/>
      <c r="BF96" s="21">
        <v>10</v>
      </c>
      <c r="BG96" s="21">
        <v>10</v>
      </c>
      <c r="BH96" s="21">
        <v>50</v>
      </c>
      <c r="BI96" s="64">
        <v>20</v>
      </c>
      <c r="BJ96" s="21">
        <v>5</v>
      </c>
      <c r="BK96" s="21">
        <v>20</v>
      </c>
      <c r="BL96" s="64">
        <v>30</v>
      </c>
      <c r="BM96" s="80"/>
      <c r="BN96" s="64">
        <v>1</v>
      </c>
      <c r="BO96" s="21"/>
      <c r="BP96" s="38"/>
      <c r="BQ96" s="20"/>
      <c r="BR96" s="20"/>
      <c r="BS96" s="21">
        <v>1</v>
      </c>
      <c r="BT96" s="21"/>
      <c r="BU96" s="21"/>
      <c r="BV96" s="20"/>
      <c r="BW96" s="20"/>
      <c r="BX96" s="21"/>
      <c r="BY96" s="21"/>
      <c r="BZ96" s="20"/>
      <c r="CA96" s="21"/>
      <c r="CB96" s="21"/>
      <c r="CC96" s="21"/>
      <c r="CD96" s="20"/>
      <c r="CE96" s="21"/>
      <c r="CF96" s="21"/>
      <c r="CG96" s="21"/>
      <c r="CH96" s="21"/>
      <c r="CI96" s="20"/>
      <c r="CJ96" s="20"/>
      <c r="CK96" s="21"/>
      <c r="CL96" s="21"/>
      <c r="CM96" s="20"/>
      <c r="CN96" s="20"/>
      <c r="CO96" s="20"/>
      <c r="CP96" s="20"/>
      <c r="CQ96" s="20"/>
      <c r="CR96" s="20"/>
      <c r="CS96" s="21"/>
      <c r="CT96" s="21"/>
      <c r="CU96" s="21"/>
      <c r="CV96" s="21"/>
      <c r="CW96" s="21"/>
    </row>
    <row r="97" spans="1:101" x14ac:dyDescent="0.25">
      <c r="A97" s="46" t="s">
        <v>170</v>
      </c>
      <c r="B97" s="18" t="s">
        <v>102</v>
      </c>
      <c r="C97" s="19">
        <f t="shared" si="16"/>
        <v>832.16000000000008</v>
      </c>
      <c r="D97" s="76"/>
      <c r="E97" s="59"/>
      <c r="F97" s="76"/>
      <c r="G97" s="76"/>
      <c r="H97" s="76"/>
      <c r="I97" s="76">
        <v>7.45</v>
      </c>
      <c r="J97" s="59"/>
      <c r="K97" s="59"/>
      <c r="L97" s="76"/>
      <c r="M97" s="76">
        <v>22.76</v>
      </c>
      <c r="N97" s="76"/>
      <c r="O97" s="76"/>
      <c r="P97" s="59"/>
      <c r="Q97" s="76"/>
      <c r="R97" s="76"/>
      <c r="S97" s="59"/>
      <c r="T97" s="76"/>
      <c r="U97" s="59"/>
      <c r="V97" s="59"/>
      <c r="W97" s="59"/>
      <c r="X97" s="59"/>
      <c r="Y97" s="59"/>
      <c r="Z97" s="63"/>
      <c r="AA97" s="58"/>
      <c r="AB97" s="59"/>
      <c r="AC97" s="59"/>
      <c r="AD97" s="59"/>
      <c r="AE97" s="59"/>
      <c r="AF97" s="59"/>
      <c r="AG97" s="59"/>
      <c r="AH97" s="59"/>
      <c r="AI97" s="59"/>
      <c r="AJ97" s="63"/>
      <c r="AK97" s="59"/>
      <c r="AL97" s="59"/>
      <c r="AM97" s="59"/>
      <c r="AN97" s="59"/>
      <c r="AO97" s="59"/>
      <c r="AP97" s="59"/>
      <c r="AQ97" s="59"/>
      <c r="AR97" s="59"/>
      <c r="AS97" s="59">
        <v>36.08</v>
      </c>
      <c r="AT97" s="59">
        <v>21.54</v>
      </c>
      <c r="AU97" s="59">
        <v>21.54</v>
      </c>
      <c r="AV97" s="76"/>
      <c r="AW97" s="59">
        <v>30.56</v>
      </c>
      <c r="AX97" s="76">
        <v>79.17</v>
      </c>
      <c r="AY97" s="76">
        <v>30.56</v>
      </c>
      <c r="AZ97" s="76">
        <v>43.08</v>
      </c>
      <c r="BA97" s="60">
        <f>20.16+32.5+8.46</f>
        <v>61.12</v>
      </c>
      <c r="BB97" s="59">
        <v>18.04</v>
      </c>
      <c r="BC97" s="76"/>
      <c r="BD97" s="76">
        <v>21.54</v>
      </c>
      <c r="BE97" s="59"/>
      <c r="BF97" s="76">
        <v>18.04</v>
      </c>
      <c r="BG97" s="76">
        <v>44.97</v>
      </c>
      <c r="BH97" s="76">
        <v>104.21</v>
      </c>
      <c r="BI97" s="76">
        <v>109.86</v>
      </c>
      <c r="BJ97" s="76">
        <v>32.44</v>
      </c>
      <c r="BK97" s="76">
        <v>39.58</v>
      </c>
      <c r="BL97" s="76">
        <v>57.62</v>
      </c>
      <c r="BM97" s="76"/>
      <c r="BN97" s="59">
        <v>16</v>
      </c>
      <c r="BO97" s="59"/>
      <c r="BP97" s="59"/>
      <c r="BQ97" s="59"/>
      <c r="BR97" s="59"/>
      <c r="BS97" s="76">
        <v>16</v>
      </c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76"/>
      <c r="CF97" s="76"/>
      <c r="CG97" s="76"/>
      <c r="CH97" s="76"/>
      <c r="CI97" s="59"/>
      <c r="CJ97" s="59"/>
      <c r="CK97" s="76"/>
      <c r="CL97" s="76"/>
      <c r="CM97" s="59"/>
      <c r="CN97" s="59"/>
      <c r="CO97" s="59"/>
      <c r="CP97" s="59"/>
      <c r="CQ97" s="59"/>
      <c r="CR97" s="76"/>
      <c r="CS97" s="76"/>
      <c r="CT97" s="59"/>
      <c r="CU97" s="59"/>
      <c r="CV97" s="59"/>
      <c r="CW97" s="76"/>
    </row>
    <row r="98" spans="1:101" x14ac:dyDescent="0.25">
      <c r="A98" s="69" t="s">
        <v>171</v>
      </c>
      <c r="B98" s="70" t="s">
        <v>102</v>
      </c>
      <c r="C98" s="71">
        <f>C100+C102+C104</f>
        <v>2090.7999999999997</v>
      </c>
      <c r="D98" s="71">
        <f t="shared" ref="D98:BP98" si="17">D100+D102+D104</f>
        <v>394.05</v>
      </c>
      <c r="E98" s="71">
        <f t="shared" si="17"/>
        <v>0</v>
      </c>
      <c r="F98" s="71">
        <f t="shared" si="17"/>
        <v>0</v>
      </c>
      <c r="G98" s="71">
        <f t="shared" si="17"/>
        <v>0</v>
      </c>
      <c r="H98" s="71">
        <f t="shared" si="17"/>
        <v>47.64</v>
      </c>
      <c r="I98" s="71">
        <f t="shared" si="17"/>
        <v>41.88</v>
      </c>
      <c r="J98" s="71">
        <f t="shared" si="17"/>
        <v>0</v>
      </c>
      <c r="K98" s="71">
        <f t="shared" si="17"/>
        <v>0</v>
      </c>
      <c r="L98" s="71">
        <f t="shared" si="17"/>
        <v>0</v>
      </c>
      <c r="M98" s="71">
        <f t="shared" si="17"/>
        <v>49.480000000000004</v>
      </c>
      <c r="N98" s="71">
        <f t="shared" si="17"/>
        <v>45.68</v>
      </c>
      <c r="O98" s="71">
        <f t="shared" si="17"/>
        <v>51.339999999999989</v>
      </c>
      <c r="P98" s="71">
        <f t="shared" si="17"/>
        <v>0</v>
      </c>
      <c r="Q98" s="71">
        <f t="shared" si="17"/>
        <v>0</v>
      </c>
      <c r="R98" s="71">
        <f t="shared" si="17"/>
        <v>0.92</v>
      </c>
      <c r="S98" s="71">
        <f t="shared" si="17"/>
        <v>0</v>
      </c>
      <c r="T98" s="71">
        <f t="shared" si="17"/>
        <v>0</v>
      </c>
      <c r="U98" s="71">
        <f t="shared" si="17"/>
        <v>45.72</v>
      </c>
      <c r="V98" s="71">
        <f t="shared" si="17"/>
        <v>0</v>
      </c>
      <c r="W98" s="71">
        <f t="shared" si="17"/>
        <v>0</v>
      </c>
      <c r="X98" s="71">
        <f t="shared" si="17"/>
        <v>16.12</v>
      </c>
      <c r="Y98" s="71">
        <f t="shared" si="17"/>
        <v>33.28</v>
      </c>
      <c r="Z98" s="71">
        <f t="shared" si="17"/>
        <v>0</v>
      </c>
      <c r="AA98" s="71">
        <f t="shared" si="17"/>
        <v>32.479999999999997</v>
      </c>
      <c r="AB98" s="71">
        <f t="shared" si="17"/>
        <v>0</v>
      </c>
      <c r="AC98" s="71">
        <f t="shared" si="17"/>
        <v>0</v>
      </c>
      <c r="AD98" s="71">
        <f t="shared" si="17"/>
        <v>0</v>
      </c>
      <c r="AE98" s="71">
        <f t="shared" si="17"/>
        <v>0</v>
      </c>
      <c r="AF98" s="71">
        <f t="shared" si="17"/>
        <v>0</v>
      </c>
      <c r="AG98" s="71">
        <f t="shared" si="17"/>
        <v>61.3</v>
      </c>
      <c r="AH98" s="71">
        <f t="shared" si="17"/>
        <v>0</v>
      </c>
      <c r="AI98" s="71">
        <f t="shared" si="17"/>
        <v>60.24</v>
      </c>
      <c r="AJ98" s="71">
        <f t="shared" si="17"/>
        <v>0.92</v>
      </c>
      <c r="AK98" s="71">
        <f t="shared" si="17"/>
        <v>0</v>
      </c>
      <c r="AL98" s="71">
        <f t="shared" si="17"/>
        <v>0</v>
      </c>
      <c r="AM98" s="71">
        <f t="shared" si="17"/>
        <v>0</v>
      </c>
      <c r="AN98" s="71">
        <f t="shared" si="17"/>
        <v>0</v>
      </c>
      <c r="AO98" s="71">
        <f t="shared" si="17"/>
        <v>10.36</v>
      </c>
      <c r="AP98" s="71">
        <f t="shared" si="17"/>
        <v>48.160000000000004</v>
      </c>
      <c r="AQ98" s="71">
        <f t="shared" si="17"/>
        <v>0</v>
      </c>
      <c r="AR98" s="71">
        <f t="shared" si="17"/>
        <v>0</v>
      </c>
      <c r="AS98" s="71">
        <f t="shared" si="17"/>
        <v>29.4</v>
      </c>
      <c r="AT98" s="71">
        <f t="shared" si="17"/>
        <v>107.9</v>
      </c>
      <c r="AU98" s="71">
        <f t="shared" si="17"/>
        <v>76.38000000000001</v>
      </c>
      <c r="AV98" s="71">
        <f t="shared" si="17"/>
        <v>0</v>
      </c>
      <c r="AW98" s="71">
        <f t="shared" si="17"/>
        <v>85.88</v>
      </c>
      <c r="AX98" s="71">
        <f t="shared" si="17"/>
        <v>54.330000000000005</v>
      </c>
      <c r="AY98" s="71">
        <f t="shared" si="17"/>
        <v>57.900000000000006</v>
      </c>
      <c r="AZ98" s="71">
        <f t="shared" si="17"/>
        <v>34.74</v>
      </c>
      <c r="BA98" s="71">
        <f t="shared" si="17"/>
        <v>10.3</v>
      </c>
      <c r="BB98" s="71">
        <f t="shared" si="17"/>
        <v>26.6</v>
      </c>
      <c r="BC98" s="71">
        <f t="shared" si="17"/>
        <v>36.24</v>
      </c>
      <c r="BD98" s="71">
        <f t="shared" si="17"/>
        <v>36.24</v>
      </c>
      <c r="BE98" s="71">
        <f t="shared" si="17"/>
        <v>90.600000000000009</v>
      </c>
      <c r="BF98" s="71">
        <f t="shared" si="17"/>
        <v>0</v>
      </c>
      <c r="BG98" s="71">
        <f t="shared" si="17"/>
        <v>0</v>
      </c>
      <c r="BH98" s="71">
        <f t="shared" si="17"/>
        <v>29.72</v>
      </c>
      <c r="BI98" s="71">
        <f t="shared" si="17"/>
        <v>1.5</v>
      </c>
      <c r="BJ98" s="71">
        <f t="shared" si="17"/>
        <v>0</v>
      </c>
      <c r="BK98" s="71">
        <f t="shared" si="17"/>
        <v>43.660000000000004</v>
      </c>
      <c r="BL98" s="71">
        <f t="shared" si="17"/>
        <v>82.679999999999993</v>
      </c>
      <c r="BM98" s="71">
        <f t="shared" si="17"/>
        <v>59.760000000000005</v>
      </c>
      <c r="BN98" s="71">
        <f t="shared" si="17"/>
        <v>6.04</v>
      </c>
      <c r="BO98" s="71">
        <f t="shared" si="17"/>
        <v>27.12</v>
      </c>
      <c r="BP98" s="71">
        <f t="shared" si="17"/>
        <v>17.850000000000001</v>
      </c>
      <c r="BQ98" s="71">
        <f t="shared" ref="BQ98:CV98" si="18">BQ100+BQ102+BQ104</f>
        <v>0</v>
      </c>
      <c r="BR98" s="71">
        <f t="shared" si="18"/>
        <v>97.92</v>
      </c>
      <c r="BS98" s="71">
        <f t="shared" si="18"/>
        <v>0</v>
      </c>
      <c r="BT98" s="71">
        <f t="shared" si="18"/>
        <v>4.6000000000000005</v>
      </c>
      <c r="BU98" s="71">
        <f t="shared" si="18"/>
        <v>0</v>
      </c>
      <c r="BV98" s="71">
        <f t="shared" si="18"/>
        <v>0</v>
      </c>
      <c r="BW98" s="71">
        <f t="shared" si="18"/>
        <v>7.02</v>
      </c>
      <c r="BX98" s="71">
        <f t="shared" si="18"/>
        <v>0</v>
      </c>
      <c r="BY98" s="71">
        <f t="shared" si="18"/>
        <v>111.58</v>
      </c>
      <c r="BZ98" s="71">
        <f t="shared" si="18"/>
        <v>0</v>
      </c>
      <c r="CA98" s="71">
        <f t="shared" si="18"/>
        <v>10.93</v>
      </c>
      <c r="CB98" s="71">
        <f t="shared" si="18"/>
        <v>4.34</v>
      </c>
      <c r="CC98" s="71">
        <f t="shared" si="18"/>
        <v>0</v>
      </c>
      <c r="CD98" s="71">
        <f t="shared" si="18"/>
        <v>0</v>
      </c>
      <c r="CE98" s="71">
        <f t="shared" si="18"/>
        <v>0</v>
      </c>
      <c r="CF98" s="71">
        <f t="shared" si="18"/>
        <v>0</v>
      </c>
      <c r="CG98" s="71">
        <f t="shared" si="18"/>
        <v>0</v>
      </c>
      <c r="CH98" s="71">
        <f t="shared" si="18"/>
        <v>0</v>
      </c>
      <c r="CI98" s="71">
        <f t="shared" si="18"/>
        <v>0</v>
      </c>
      <c r="CJ98" s="71">
        <f t="shared" si="18"/>
        <v>0</v>
      </c>
      <c r="CK98" s="71">
        <f t="shared" si="18"/>
        <v>0</v>
      </c>
      <c r="CL98" s="71">
        <f t="shared" si="18"/>
        <v>0</v>
      </c>
      <c r="CM98" s="71">
        <f t="shared" si="18"/>
        <v>0</v>
      </c>
      <c r="CN98" s="71">
        <f t="shared" si="18"/>
        <v>0</v>
      </c>
      <c r="CO98" s="71">
        <f t="shared" si="18"/>
        <v>0</v>
      </c>
      <c r="CP98" s="71">
        <f t="shared" si="18"/>
        <v>0</v>
      </c>
      <c r="CQ98" s="71">
        <f t="shared" si="18"/>
        <v>0</v>
      </c>
      <c r="CR98" s="71">
        <f t="shared" si="18"/>
        <v>0</v>
      </c>
      <c r="CS98" s="71">
        <f t="shared" si="18"/>
        <v>0</v>
      </c>
      <c r="CT98" s="71">
        <f t="shared" si="18"/>
        <v>0</v>
      </c>
      <c r="CU98" s="71">
        <f t="shared" si="18"/>
        <v>0</v>
      </c>
      <c r="CV98" s="71">
        <f t="shared" si="18"/>
        <v>0</v>
      </c>
      <c r="CW98" s="71">
        <f>CW100+CW102+CW104</f>
        <v>0</v>
      </c>
    </row>
    <row r="99" spans="1:101" s="1" customFormat="1" x14ac:dyDescent="0.25">
      <c r="A99" s="52" t="s">
        <v>172</v>
      </c>
      <c r="B99" s="18" t="s">
        <v>132</v>
      </c>
      <c r="C99" s="28">
        <f>SUM(D99:CV99)</f>
        <v>3.4249999999999994</v>
      </c>
      <c r="D99" s="47">
        <f>0.06*3</f>
        <v>0.18</v>
      </c>
      <c r="E99" s="65"/>
      <c r="F99" s="47"/>
      <c r="G99" s="47"/>
      <c r="H99" s="47">
        <f>0.06*2</f>
        <v>0.12</v>
      </c>
      <c r="I99" s="47">
        <f>0.06*2</f>
        <v>0.12</v>
      </c>
      <c r="J99" s="30"/>
      <c r="K99" s="20"/>
      <c r="L99" s="20"/>
      <c r="M99" s="20">
        <f>0.06*2</f>
        <v>0.12</v>
      </c>
      <c r="N99" s="47">
        <f>0.06*2</f>
        <v>0.12</v>
      </c>
      <c r="O99" s="20">
        <f>0.04*3</f>
        <v>0.12</v>
      </c>
      <c r="P99" s="30"/>
      <c r="Q99" s="30"/>
      <c r="R99" s="30"/>
      <c r="S99" s="30"/>
      <c r="T99" s="20"/>
      <c r="U99" s="74">
        <f>0.04*2</f>
        <v>0.08</v>
      </c>
      <c r="V99" s="82"/>
      <c r="W99" s="82"/>
      <c r="X99" s="82"/>
      <c r="Y99" s="74">
        <f>0.04*1</f>
        <v>0.04</v>
      </c>
      <c r="Z99" s="30"/>
      <c r="AA99" s="74">
        <f>0.04*2</f>
        <v>0.08</v>
      </c>
      <c r="AB99" s="30"/>
      <c r="AC99" s="30"/>
      <c r="AD99" s="30"/>
      <c r="AE99" s="30"/>
      <c r="AF99" s="30"/>
      <c r="AG99" s="30">
        <f>0.039*3</f>
        <v>0.11699999999999999</v>
      </c>
      <c r="AH99" s="30"/>
      <c r="AI99" s="30">
        <f>0.039*4</f>
        <v>0.156</v>
      </c>
      <c r="AJ99" s="30"/>
      <c r="AK99" s="30"/>
      <c r="AL99" s="30"/>
      <c r="AM99" s="30"/>
      <c r="AN99" s="30"/>
      <c r="AO99" s="30"/>
      <c r="AP99" s="30">
        <f>0.04*3</f>
        <v>0.12</v>
      </c>
      <c r="AQ99" s="30"/>
      <c r="AR99" s="20"/>
      <c r="AS99" s="83">
        <v>0.03</v>
      </c>
      <c r="AT99" s="83">
        <f>0.06*4</f>
        <v>0.24</v>
      </c>
      <c r="AU99" s="83">
        <f>0.06*3</f>
        <v>0.18</v>
      </c>
      <c r="AV99" s="83"/>
      <c r="AW99" s="83">
        <f>0.06*2</f>
        <v>0.12</v>
      </c>
      <c r="AX99" s="83">
        <v>0.06</v>
      </c>
      <c r="AY99" s="47">
        <f>0.05*3</f>
        <v>0.15000000000000002</v>
      </c>
      <c r="AZ99" s="47">
        <f>0.045*2</f>
        <v>0.09</v>
      </c>
      <c r="BA99" s="84">
        <v>0.03</v>
      </c>
      <c r="BB99" s="83"/>
      <c r="BC99" s="63">
        <f>0.06*2</f>
        <v>0.12</v>
      </c>
      <c r="BD99" s="63">
        <f>0.06*2</f>
        <v>0.12</v>
      </c>
      <c r="BE99" s="63">
        <f>0.06*5</f>
        <v>0.3</v>
      </c>
      <c r="BF99" s="63"/>
      <c r="BG99" s="63"/>
      <c r="BH99" s="63">
        <f>0.044*2</f>
        <v>8.7999999999999995E-2</v>
      </c>
      <c r="BI99" s="63">
        <v>0.01</v>
      </c>
      <c r="BJ99" s="63"/>
      <c r="BK99" s="63">
        <f>0.04*3</f>
        <v>0.12</v>
      </c>
      <c r="BL99" s="63">
        <f>0.036*4</f>
        <v>0.14399999999999999</v>
      </c>
      <c r="BM99" s="63">
        <f>0.052*3</f>
        <v>0.156</v>
      </c>
      <c r="BN99" s="83">
        <v>0.02</v>
      </c>
      <c r="BO99" s="83">
        <v>0.05</v>
      </c>
      <c r="BP99" s="63">
        <v>8.0000000000000002E-3</v>
      </c>
      <c r="BQ99" s="63"/>
      <c r="BR99" s="63"/>
      <c r="BS99" s="63"/>
      <c r="BT99" s="63"/>
      <c r="BU99" s="63"/>
      <c r="BV99" s="63"/>
      <c r="BW99" s="20"/>
      <c r="BX99" s="20"/>
      <c r="BY99" s="65"/>
      <c r="BZ99" s="20"/>
      <c r="CA99" s="63">
        <v>8.0000000000000002E-3</v>
      </c>
      <c r="CB99" s="63">
        <v>8.0000000000000002E-3</v>
      </c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</row>
    <row r="100" spans="1:101" s="1" customFormat="1" x14ac:dyDescent="0.25">
      <c r="A100" s="52" t="s">
        <v>173</v>
      </c>
      <c r="B100" s="18" t="s">
        <v>102</v>
      </c>
      <c r="C100" s="19">
        <f>SUM(D100:CV100)</f>
        <v>1166.4699999999996</v>
      </c>
      <c r="D100" s="59">
        <f>18.12*3</f>
        <v>54.36</v>
      </c>
      <c r="E100" s="59"/>
      <c r="F100" s="59"/>
      <c r="G100" s="59"/>
      <c r="H100" s="59">
        <f>18.12*2</f>
        <v>36.24</v>
      </c>
      <c r="I100" s="59">
        <f>18.12*2</f>
        <v>36.24</v>
      </c>
      <c r="J100" s="59"/>
      <c r="K100" s="59"/>
      <c r="L100" s="59"/>
      <c r="M100" s="59">
        <f>18.12*2</f>
        <v>36.24</v>
      </c>
      <c r="N100" s="59">
        <f>18.12*2</f>
        <v>36.24</v>
      </c>
      <c r="O100" s="59">
        <f>12.7*3</f>
        <v>38.099999999999994</v>
      </c>
      <c r="P100" s="59"/>
      <c r="Q100" s="59"/>
      <c r="R100" s="59"/>
      <c r="S100" s="59"/>
      <c r="T100" s="59"/>
      <c r="U100" s="59">
        <f>16.24*2</f>
        <v>32.479999999999997</v>
      </c>
      <c r="V100" s="59"/>
      <c r="W100" s="59"/>
      <c r="X100" s="59"/>
      <c r="Y100" s="59">
        <f>16.24*1</f>
        <v>16.239999999999998</v>
      </c>
      <c r="Z100" s="59"/>
      <c r="AA100" s="59">
        <f>16.24*2</f>
        <v>32.479999999999997</v>
      </c>
      <c r="AB100" s="59"/>
      <c r="AC100" s="59"/>
      <c r="AD100" s="59"/>
      <c r="AE100" s="59"/>
      <c r="AF100" s="59"/>
      <c r="AG100" s="59">
        <f>15.06*3</f>
        <v>45.18</v>
      </c>
      <c r="AH100" s="59"/>
      <c r="AI100" s="59">
        <f>15.06*4</f>
        <v>60.24</v>
      </c>
      <c r="AJ100" s="59"/>
      <c r="AK100" s="59"/>
      <c r="AL100" s="59"/>
      <c r="AM100" s="59"/>
      <c r="AN100" s="59"/>
      <c r="AO100" s="59"/>
      <c r="AP100" s="59">
        <f>15.44*3</f>
        <v>46.32</v>
      </c>
      <c r="AQ100" s="59"/>
      <c r="AR100" s="23"/>
      <c r="AS100" s="84">
        <f>0.15*30</f>
        <v>4.5</v>
      </c>
      <c r="AT100" s="84">
        <f>18.12*4</f>
        <v>72.48</v>
      </c>
      <c r="AU100" s="84">
        <f>18.12*3</f>
        <v>54.36</v>
      </c>
      <c r="AV100" s="84"/>
      <c r="AW100" s="84">
        <f>18.12*2</f>
        <v>36.24</v>
      </c>
      <c r="AX100" s="84">
        <v>19.53</v>
      </c>
      <c r="AY100" s="59">
        <f>19.3*3</f>
        <v>57.900000000000006</v>
      </c>
      <c r="AZ100" s="59">
        <f>17.37*2</f>
        <v>34.74</v>
      </c>
      <c r="BA100" s="84">
        <f>0.15*30</f>
        <v>4.5</v>
      </c>
      <c r="BB100" s="84"/>
      <c r="BC100" s="84">
        <f>18.12*2</f>
        <v>36.24</v>
      </c>
      <c r="BD100" s="84">
        <f>18.12*2</f>
        <v>36.24</v>
      </c>
      <c r="BE100" s="84">
        <f>18.12*5</f>
        <v>90.600000000000009</v>
      </c>
      <c r="BF100" s="84"/>
      <c r="BG100" s="84"/>
      <c r="BH100" s="84">
        <f>12.1*2</f>
        <v>24.2</v>
      </c>
      <c r="BI100" s="84">
        <f>0.15*10</f>
        <v>1.5</v>
      </c>
      <c r="BJ100" s="84"/>
      <c r="BK100" s="84">
        <f>13.02*3</f>
        <v>39.06</v>
      </c>
      <c r="BL100" s="84">
        <f>19.52*4</f>
        <v>78.08</v>
      </c>
      <c r="BM100" s="84">
        <f>19.92*3</f>
        <v>59.760000000000005</v>
      </c>
      <c r="BN100" s="84">
        <v>6.04</v>
      </c>
      <c r="BO100" s="84">
        <v>27.12</v>
      </c>
      <c r="BP100" s="84">
        <v>4.34</v>
      </c>
      <c r="BQ100" s="84"/>
      <c r="BR100" s="84"/>
      <c r="BS100" s="84"/>
      <c r="BT100" s="84"/>
      <c r="BU100" s="84"/>
      <c r="BV100" s="84"/>
      <c r="BW100" s="59"/>
      <c r="BX100" s="59"/>
      <c r="BY100" s="59"/>
      <c r="BZ100" s="59"/>
      <c r="CA100" s="84">
        <v>4.34</v>
      </c>
      <c r="CB100" s="84">
        <v>4.34</v>
      </c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</row>
    <row r="101" spans="1:101" x14ac:dyDescent="0.25">
      <c r="A101" s="85" t="s">
        <v>174</v>
      </c>
      <c r="B101" s="18" t="s">
        <v>121</v>
      </c>
      <c r="C101" s="36">
        <f t="shared" ref="C101:C107" si="19">SUM(D101:CV101)</f>
        <v>498</v>
      </c>
      <c r="D101" s="86">
        <v>229</v>
      </c>
      <c r="E101" s="63"/>
      <c r="F101" s="60"/>
      <c r="G101" s="86"/>
      <c r="H101" s="86"/>
      <c r="I101" s="86"/>
      <c r="J101" s="86"/>
      <c r="K101" s="86"/>
      <c r="L101" s="60"/>
      <c r="M101" s="21"/>
      <c r="N101" s="21"/>
      <c r="O101" s="60"/>
      <c r="P101" s="63"/>
      <c r="Q101" s="60"/>
      <c r="R101" s="60"/>
      <c r="S101" s="21"/>
      <c r="T101" s="60"/>
      <c r="U101" s="61"/>
      <c r="V101" s="65"/>
      <c r="W101" s="65"/>
      <c r="X101" s="87"/>
      <c r="Y101" s="21"/>
      <c r="Z101" s="21"/>
      <c r="AA101" s="21"/>
      <c r="AB101" s="20"/>
      <c r="AC101" s="21"/>
      <c r="AD101" s="21"/>
      <c r="AE101" s="21"/>
      <c r="AF101" s="20"/>
      <c r="AG101" s="21"/>
      <c r="AH101" s="21"/>
      <c r="AI101" s="21"/>
      <c r="AJ101" s="20"/>
      <c r="AK101" s="21"/>
      <c r="AL101" s="21"/>
      <c r="AM101" s="20"/>
      <c r="AN101" s="20"/>
      <c r="AO101" s="21"/>
      <c r="AP101" s="21"/>
      <c r="AQ101" s="21"/>
      <c r="AR101" s="21"/>
      <c r="AS101" s="60">
        <f>12+10</f>
        <v>22</v>
      </c>
      <c r="AT101" s="60">
        <f>12+30</f>
        <v>42</v>
      </c>
      <c r="AU101" s="60">
        <f>12+10</f>
        <v>22</v>
      </c>
      <c r="AV101" s="88"/>
      <c r="AW101" s="60">
        <f>20+12</f>
        <v>32</v>
      </c>
      <c r="AX101" s="89">
        <v>20</v>
      </c>
      <c r="AY101" s="89"/>
      <c r="AZ101" s="89"/>
      <c r="BA101" s="89">
        <v>20</v>
      </c>
      <c r="BB101" s="88">
        <v>20</v>
      </c>
      <c r="BC101" s="86"/>
      <c r="BD101" s="63"/>
      <c r="BE101" s="63"/>
      <c r="BF101" s="60"/>
      <c r="BG101" s="60"/>
      <c r="BH101" s="60"/>
      <c r="BI101" s="86"/>
      <c r="BJ101" s="60"/>
      <c r="BK101" s="60"/>
      <c r="BL101" s="63"/>
      <c r="BM101" s="60"/>
      <c r="BN101" s="64"/>
      <c r="BO101" s="87"/>
      <c r="BP101" s="65">
        <v>4</v>
      </c>
      <c r="BQ101" s="20"/>
      <c r="BR101" s="20">
        <v>64</v>
      </c>
      <c r="BS101" s="21"/>
      <c r="BT101" s="21"/>
      <c r="BU101" s="21"/>
      <c r="BV101" s="20"/>
      <c r="BW101" s="20">
        <v>4</v>
      </c>
      <c r="BX101" s="21"/>
      <c r="BY101" s="87">
        <v>15</v>
      </c>
      <c r="BZ101" s="20"/>
      <c r="CA101" s="21">
        <v>4</v>
      </c>
      <c r="CB101" s="21"/>
      <c r="CC101" s="21"/>
      <c r="CD101" s="20"/>
      <c r="CE101" s="21"/>
      <c r="CF101" s="21"/>
      <c r="CG101" s="21"/>
      <c r="CH101" s="21"/>
      <c r="CI101" s="21"/>
      <c r="CJ101" s="20"/>
      <c r="CK101" s="21"/>
      <c r="CL101" s="21"/>
      <c r="CM101" s="20"/>
      <c r="CN101" s="21"/>
      <c r="CO101" s="20"/>
      <c r="CP101" s="20"/>
      <c r="CQ101" s="20"/>
      <c r="CR101" s="20"/>
      <c r="CS101" s="21"/>
      <c r="CT101" s="21"/>
      <c r="CU101" s="20"/>
      <c r="CV101" s="21"/>
      <c r="CW101" s="21"/>
    </row>
    <row r="102" spans="1:101" x14ac:dyDescent="0.25">
      <c r="A102" s="85" t="s">
        <v>175</v>
      </c>
      <c r="B102" s="18" t="s">
        <v>102</v>
      </c>
      <c r="C102" s="19">
        <f t="shared" si="19"/>
        <v>720.13000000000011</v>
      </c>
      <c r="D102" s="76">
        <v>339.69</v>
      </c>
      <c r="E102" s="84"/>
      <c r="F102" s="90"/>
      <c r="G102" s="76"/>
      <c r="H102" s="76"/>
      <c r="I102" s="76"/>
      <c r="J102" s="76"/>
      <c r="K102" s="76"/>
      <c r="L102" s="90"/>
      <c r="M102" s="76"/>
      <c r="N102" s="76"/>
      <c r="O102" s="76"/>
      <c r="P102" s="84"/>
      <c r="Q102" s="76"/>
      <c r="R102" s="76"/>
      <c r="S102" s="76"/>
      <c r="T102" s="90"/>
      <c r="U102" s="58"/>
      <c r="V102" s="58"/>
      <c r="W102" s="59"/>
      <c r="X102" s="76"/>
      <c r="Y102" s="76"/>
      <c r="Z102" s="59"/>
      <c r="AA102" s="76"/>
      <c r="AB102" s="59"/>
      <c r="AC102" s="59"/>
      <c r="AD102" s="59"/>
      <c r="AE102" s="59"/>
      <c r="AF102" s="59"/>
      <c r="AG102" s="59"/>
      <c r="AH102" s="59"/>
      <c r="AI102" s="76"/>
      <c r="AJ102" s="59"/>
      <c r="AK102" s="59"/>
      <c r="AL102" s="59"/>
      <c r="AM102" s="59"/>
      <c r="AN102" s="59"/>
      <c r="AO102" s="76"/>
      <c r="AP102" s="76"/>
      <c r="AQ102" s="59"/>
      <c r="AR102" s="76"/>
      <c r="AS102" s="76">
        <f>0.97*12+10*0.29</f>
        <v>14.540000000000001</v>
      </c>
      <c r="AT102" s="76">
        <f>0.97*12+30*0.29</f>
        <v>20.34</v>
      </c>
      <c r="AU102" s="76">
        <f>0.97*12+10*0.29</f>
        <v>14.540000000000001</v>
      </c>
      <c r="AV102" s="90"/>
      <c r="AW102" s="76">
        <f>20*1.33+0.97*12</f>
        <v>38.24</v>
      </c>
      <c r="AX102" s="90">
        <f>1.51*20</f>
        <v>30.2</v>
      </c>
      <c r="AY102" s="90"/>
      <c r="AZ102" s="90"/>
      <c r="BA102" s="90">
        <f>0.29*20</f>
        <v>5.8</v>
      </c>
      <c r="BB102" s="83">
        <f>1.33*20</f>
        <v>26.6</v>
      </c>
      <c r="BC102" s="76"/>
      <c r="BD102" s="76"/>
      <c r="BE102" s="84"/>
      <c r="BF102" s="90"/>
      <c r="BG102" s="90"/>
      <c r="BH102" s="76"/>
      <c r="BI102" s="91"/>
      <c r="BJ102" s="90"/>
      <c r="BK102" s="76"/>
      <c r="BL102" s="91"/>
      <c r="BM102" s="84"/>
      <c r="BN102" s="76"/>
      <c r="BO102" s="76"/>
      <c r="BP102" s="76">
        <v>7.07</v>
      </c>
      <c r="BQ102" s="59"/>
      <c r="BR102" s="59">
        <f>1.53*BR101</f>
        <v>97.92</v>
      </c>
      <c r="BS102" s="76"/>
      <c r="BT102" s="76"/>
      <c r="BU102" s="76"/>
      <c r="BV102" s="59"/>
      <c r="BW102" s="59">
        <v>7.02</v>
      </c>
      <c r="BX102" s="76"/>
      <c r="BY102" s="76">
        <v>111.58</v>
      </c>
      <c r="BZ102" s="76"/>
      <c r="CA102" s="76">
        <v>6.59</v>
      </c>
      <c r="CB102" s="76"/>
      <c r="CC102" s="76"/>
      <c r="CD102" s="59"/>
      <c r="CE102" s="76"/>
      <c r="CF102" s="76"/>
      <c r="CG102" s="76"/>
      <c r="CH102" s="76"/>
      <c r="CI102" s="76"/>
      <c r="CJ102" s="59"/>
      <c r="CK102" s="76"/>
      <c r="CL102" s="76"/>
      <c r="CM102" s="59"/>
      <c r="CN102" s="76"/>
      <c r="CO102" s="59"/>
      <c r="CP102" s="59"/>
      <c r="CQ102" s="59"/>
      <c r="CR102" s="76"/>
      <c r="CS102" s="76"/>
      <c r="CT102" s="76"/>
      <c r="CU102" s="76"/>
      <c r="CV102" s="76"/>
      <c r="CW102" s="76"/>
    </row>
    <row r="103" spans="1:101" s="1" customFormat="1" x14ac:dyDescent="0.25">
      <c r="A103" s="92" t="s">
        <v>176</v>
      </c>
      <c r="B103" s="18" t="s">
        <v>121</v>
      </c>
      <c r="C103" s="36">
        <f t="shared" si="19"/>
        <v>104</v>
      </c>
      <c r="D103" s="63"/>
      <c r="E103" s="63"/>
      <c r="F103" s="63"/>
      <c r="G103" s="63"/>
      <c r="H103" s="63">
        <v>3</v>
      </c>
      <c r="I103" s="63">
        <v>3</v>
      </c>
      <c r="J103" s="63"/>
      <c r="K103" s="63"/>
      <c r="L103" s="63"/>
      <c r="M103" s="63">
        <v>5</v>
      </c>
      <c r="N103" s="63">
        <v>5</v>
      </c>
      <c r="O103" s="63">
        <v>5</v>
      </c>
      <c r="P103" s="63"/>
      <c r="Q103" s="63"/>
      <c r="R103" s="63">
        <v>1</v>
      </c>
      <c r="S103" s="20"/>
      <c r="T103" s="63"/>
      <c r="U103" s="63">
        <v>5</v>
      </c>
      <c r="V103" s="65"/>
      <c r="W103" s="65"/>
      <c r="X103" s="63">
        <v>5</v>
      </c>
      <c r="Y103" s="63">
        <v>6</v>
      </c>
      <c r="Z103" s="20"/>
      <c r="AA103" s="20"/>
      <c r="AB103" s="20"/>
      <c r="AC103" s="20"/>
      <c r="AD103" s="20"/>
      <c r="AE103" s="20"/>
      <c r="AF103" s="20"/>
      <c r="AG103" s="63">
        <v>5</v>
      </c>
      <c r="AH103" s="20"/>
      <c r="AI103" s="20"/>
      <c r="AJ103" s="63">
        <v>1</v>
      </c>
      <c r="AK103" s="20"/>
      <c r="AL103" s="20"/>
      <c r="AM103" s="20"/>
      <c r="AN103" s="20"/>
      <c r="AO103" s="63">
        <v>5</v>
      </c>
      <c r="AP103" s="63">
        <v>2</v>
      </c>
      <c r="AQ103" s="20"/>
      <c r="AR103" s="20"/>
      <c r="AS103" s="63">
        <v>5</v>
      </c>
      <c r="AT103" s="63">
        <v>7</v>
      </c>
      <c r="AU103" s="63">
        <v>5</v>
      </c>
      <c r="AV103" s="88"/>
      <c r="AW103" s="63">
        <v>3</v>
      </c>
      <c r="AX103" s="63">
        <v>5</v>
      </c>
      <c r="AY103" s="88"/>
      <c r="AZ103" s="88"/>
      <c r="BA103" s="88"/>
      <c r="BB103" s="88"/>
      <c r="BC103" s="63"/>
      <c r="BD103" s="63"/>
      <c r="BE103" s="63"/>
      <c r="BF103" s="63"/>
      <c r="BG103" s="63"/>
      <c r="BH103" s="63">
        <v>6</v>
      </c>
      <c r="BI103" s="63"/>
      <c r="BJ103" s="63"/>
      <c r="BK103" s="63">
        <v>5</v>
      </c>
      <c r="BL103" s="63">
        <v>5</v>
      </c>
      <c r="BM103" s="63"/>
      <c r="BN103" s="47"/>
      <c r="BO103" s="63"/>
      <c r="BP103" s="63">
        <v>7</v>
      </c>
      <c r="BQ103" s="65"/>
      <c r="BR103" s="20"/>
      <c r="BS103" s="20"/>
      <c r="BT103" s="63">
        <v>5</v>
      </c>
      <c r="BU103" s="20"/>
      <c r="BV103" s="20"/>
      <c r="BW103" s="20"/>
      <c r="BX103" s="20"/>
      <c r="BY103" s="65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</row>
    <row r="104" spans="1:101" s="1" customFormat="1" ht="18.75" customHeight="1" x14ac:dyDescent="0.25">
      <c r="A104" s="92"/>
      <c r="B104" s="18" t="s">
        <v>102</v>
      </c>
      <c r="C104" s="19">
        <f t="shared" si="19"/>
        <v>204.19999999999996</v>
      </c>
      <c r="D104" s="59"/>
      <c r="E104" s="59"/>
      <c r="F104" s="59"/>
      <c r="G104" s="59"/>
      <c r="H104" s="59">
        <f>0.92*0+3.8*3</f>
        <v>11.399999999999999</v>
      </c>
      <c r="I104" s="59">
        <f>0.92*2+3.8*1</f>
        <v>5.64</v>
      </c>
      <c r="J104" s="59"/>
      <c r="K104" s="59"/>
      <c r="L104" s="59"/>
      <c r="M104" s="59">
        <f>0.92*2+3.8*3</f>
        <v>13.239999999999998</v>
      </c>
      <c r="N104" s="59">
        <f>0.92*2+3.8*2</f>
        <v>9.44</v>
      </c>
      <c r="O104" s="59">
        <f>0.92*2+3.8*3</f>
        <v>13.239999999999998</v>
      </c>
      <c r="P104" s="59"/>
      <c r="Q104" s="59"/>
      <c r="R104" s="59">
        <v>0.92</v>
      </c>
      <c r="S104" s="59"/>
      <c r="T104" s="59"/>
      <c r="U104" s="59">
        <f>0.92*2+3.8*3</f>
        <v>13.239999999999998</v>
      </c>
      <c r="V104" s="59"/>
      <c r="W104" s="59"/>
      <c r="X104" s="59">
        <f>0.92*1+3.8*4</f>
        <v>16.12</v>
      </c>
      <c r="Y104" s="59">
        <f>0.92*2+3.8*4</f>
        <v>17.04</v>
      </c>
      <c r="Z104" s="59"/>
      <c r="AA104" s="59"/>
      <c r="AB104" s="59"/>
      <c r="AC104" s="59"/>
      <c r="AD104" s="59"/>
      <c r="AE104" s="59"/>
      <c r="AF104" s="59"/>
      <c r="AG104" s="59">
        <f>0.92*1+3.8*4</f>
        <v>16.12</v>
      </c>
      <c r="AH104" s="59"/>
      <c r="AI104" s="59"/>
      <c r="AJ104" s="59">
        <v>0.92</v>
      </c>
      <c r="AK104" s="59"/>
      <c r="AL104" s="59"/>
      <c r="AM104" s="59"/>
      <c r="AN104" s="59"/>
      <c r="AO104" s="59">
        <f>0.92*3+3.8*2</f>
        <v>10.36</v>
      </c>
      <c r="AP104" s="59">
        <f>0.92*2</f>
        <v>1.84</v>
      </c>
      <c r="AQ104" s="59"/>
      <c r="AR104" s="59"/>
      <c r="AS104" s="59">
        <f>0.92*3+3.8*2</f>
        <v>10.36</v>
      </c>
      <c r="AT104" s="59">
        <f>0.92*4+3.8*3</f>
        <v>15.079999999999998</v>
      </c>
      <c r="AU104" s="59">
        <f>0.92*4+3.8*1</f>
        <v>7.48</v>
      </c>
      <c r="AV104" s="84"/>
      <c r="AW104" s="59">
        <f>3.8*3</f>
        <v>11.399999999999999</v>
      </c>
      <c r="AX104" s="59">
        <f>0.92*5</f>
        <v>4.6000000000000005</v>
      </c>
      <c r="AY104" s="84"/>
      <c r="AZ104" s="84"/>
      <c r="BA104" s="84"/>
      <c r="BB104" s="84"/>
      <c r="BC104" s="84"/>
      <c r="BD104" s="84"/>
      <c r="BE104" s="84"/>
      <c r="BF104" s="84"/>
      <c r="BG104" s="84"/>
      <c r="BH104" s="59">
        <f>0.92*6</f>
        <v>5.5200000000000005</v>
      </c>
      <c r="BI104" s="84"/>
      <c r="BJ104" s="84"/>
      <c r="BK104" s="59">
        <f>0.92*5</f>
        <v>4.6000000000000005</v>
      </c>
      <c r="BL104" s="59">
        <f>0.92*5</f>
        <v>4.6000000000000005</v>
      </c>
      <c r="BM104" s="84"/>
      <c r="BN104" s="59"/>
      <c r="BO104" s="59"/>
      <c r="BP104" s="59">
        <f>0.92*7</f>
        <v>6.44</v>
      </c>
      <c r="BQ104" s="59"/>
      <c r="BR104" s="59"/>
      <c r="BS104" s="59"/>
      <c r="BT104" s="59">
        <f>0.92*5</f>
        <v>4.6000000000000005</v>
      </c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23"/>
    </row>
    <row r="105" spans="1:101" s="1" customFormat="1" ht="50.25" hidden="1" customHeight="1" x14ac:dyDescent="0.25">
      <c r="A105" s="93" t="s">
        <v>177</v>
      </c>
      <c r="B105" s="94" t="s">
        <v>102</v>
      </c>
      <c r="C105" s="95">
        <f t="shared" si="19"/>
        <v>0</v>
      </c>
      <c r="D105" s="96"/>
      <c r="E105" s="97"/>
      <c r="F105" s="97"/>
      <c r="G105" s="96"/>
      <c r="H105" s="96"/>
      <c r="I105" s="96"/>
      <c r="J105" s="97"/>
      <c r="K105" s="97"/>
      <c r="L105" s="97"/>
      <c r="M105" s="96"/>
      <c r="N105" s="96"/>
      <c r="O105" s="96"/>
      <c r="P105" s="97"/>
      <c r="Q105" s="96"/>
      <c r="R105" s="97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7"/>
      <c r="AT105" s="97"/>
      <c r="AU105" s="97"/>
      <c r="AV105" s="97"/>
      <c r="AW105" s="97"/>
      <c r="AX105" s="97"/>
      <c r="AY105" s="97"/>
      <c r="AZ105" s="97"/>
      <c r="BA105" s="98"/>
      <c r="BB105" s="98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9"/>
      <c r="CW105" s="99"/>
    </row>
    <row r="106" spans="1:101" s="1" customFormat="1" ht="36" hidden="1" customHeight="1" x14ac:dyDescent="0.25">
      <c r="A106" s="57" t="s">
        <v>178</v>
      </c>
      <c r="B106" s="21" t="s">
        <v>102</v>
      </c>
      <c r="C106" s="19">
        <f t="shared" si="19"/>
        <v>0</v>
      </c>
      <c r="D106" s="59"/>
      <c r="E106" s="84"/>
      <c r="F106" s="84"/>
      <c r="G106" s="59"/>
      <c r="H106" s="59"/>
      <c r="I106" s="59"/>
      <c r="J106" s="84"/>
      <c r="K106" s="84"/>
      <c r="L106" s="84"/>
      <c r="M106" s="59"/>
      <c r="N106" s="59"/>
      <c r="O106" s="59"/>
      <c r="P106" s="84"/>
      <c r="Q106" s="59"/>
      <c r="R106" s="84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84"/>
      <c r="AT106" s="84"/>
      <c r="AU106" s="84"/>
      <c r="AV106" s="84"/>
      <c r="AW106" s="84"/>
      <c r="AX106" s="84"/>
      <c r="AY106" s="84"/>
      <c r="AZ106" s="84"/>
      <c r="BA106" s="83"/>
      <c r="BB106" s="83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23"/>
      <c r="CW106" s="23"/>
    </row>
    <row r="107" spans="1:101" s="1" customFormat="1" ht="36" hidden="1" customHeight="1" x14ac:dyDescent="0.25">
      <c r="A107" s="57" t="s">
        <v>179</v>
      </c>
      <c r="B107" s="21" t="s">
        <v>102</v>
      </c>
      <c r="C107" s="19">
        <f t="shared" si="19"/>
        <v>0</v>
      </c>
      <c r="D107" s="59"/>
      <c r="E107" s="84"/>
      <c r="F107" s="84"/>
      <c r="G107" s="59"/>
      <c r="H107" s="59"/>
      <c r="I107" s="59"/>
      <c r="J107" s="84"/>
      <c r="K107" s="84"/>
      <c r="L107" s="84"/>
      <c r="M107" s="59"/>
      <c r="N107" s="59"/>
      <c r="O107" s="59"/>
      <c r="P107" s="84"/>
      <c r="Q107" s="59"/>
      <c r="R107" s="84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84"/>
      <c r="AT107" s="84"/>
      <c r="AU107" s="84"/>
      <c r="AV107" s="84"/>
      <c r="AW107" s="84"/>
      <c r="AX107" s="84"/>
      <c r="AY107" s="84"/>
      <c r="AZ107" s="84"/>
      <c r="BA107" s="83"/>
      <c r="BB107" s="83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23"/>
      <c r="CW107" s="23"/>
    </row>
    <row r="108" spans="1:101" x14ac:dyDescent="0.25">
      <c r="A108" s="100" t="s">
        <v>180</v>
      </c>
      <c r="B108" s="56" t="s">
        <v>102</v>
      </c>
      <c r="C108" s="101">
        <v>16948.214675423551</v>
      </c>
      <c r="D108" s="102">
        <v>776.46</v>
      </c>
      <c r="E108" s="102">
        <v>29.068848541922002</v>
      </c>
      <c r="F108" s="102">
        <v>64.174787246242403</v>
      </c>
      <c r="G108" s="102">
        <v>97.395985244641992</v>
      </c>
      <c r="H108" s="102">
        <v>96.599996427989595</v>
      </c>
      <c r="I108" s="102">
        <v>208.2466160224856</v>
      </c>
      <c r="J108" s="102">
        <v>29.546421189930399</v>
      </c>
      <c r="K108" s="102">
        <v>28.601705527449603</v>
      </c>
      <c r="L108" s="102">
        <v>29.174083272695203</v>
      </c>
      <c r="M108" s="102">
        <v>152.58689394082958</v>
      </c>
      <c r="N108" s="102">
        <v>152.94306592608402</v>
      </c>
      <c r="O108" s="102">
        <v>263.73664606527558</v>
      </c>
      <c r="P108" s="102">
        <v>122.1497820469248</v>
      </c>
      <c r="Q108" s="102">
        <v>88.030695810990807</v>
      </c>
      <c r="R108" s="102">
        <v>62.212451696443999</v>
      </c>
      <c r="S108" s="102">
        <v>49.754566783488002</v>
      </c>
      <c r="T108" s="102">
        <v>218.5780018673664</v>
      </c>
      <c r="U108" s="102">
        <v>166.1208046889048</v>
      </c>
      <c r="V108" s="102">
        <v>40.348080297369599</v>
      </c>
      <c r="W108" s="102">
        <v>207.76142892718079</v>
      </c>
      <c r="X108" s="102">
        <v>100.9280852095488</v>
      </c>
      <c r="Y108" s="102">
        <v>147.3963790337836</v>
      </c>
      <c r="Z108" s="102">
        <v>115.63751886704638</v>
      </c>
      <c r="AA108" s="102">
        <v>174.90255612621684</v>
      </c>
      <c r="AB108" s="102">
        <v>132.9027342225408</v>
      </c>
      <c r="AC108" s="102">
        <v>116.01089974763521</v>
      </c>
      <c r="AD108" s="102">
        <v>283.77</v>
      </c>
      <c r="AE108" s="102">
        <v>571.59</v>
      </c>
      <c r="AF108" s="102">
        <v>36.307640265523197</v>
      </c>
      <c r="AG108" s="102">
        <v>184.60774704520119</v>
      </c>
      <c r="AH108" s="102">
        <v>110.58</v>
      </c>
      <c r="AI108" s="102">
        <v>356.47715660326838</v>
      </c>
      <c r="AJ108" s="102">
        <v>217.263451128094</v>
      </c>
      <c r="AK108" s="102">
        <v>36.4161084542976</v>
      </c>
      <c r="AL108" s="102">
        <v>36.289909888512</v>
      </c>
      <c r="AM108" s="102">
        <v>64.908615175415207</v>
      </c>
      <c r="AN108" s="102">
        <v>0</v>
      </c>
      <c r="AO108" s="102">
        <v>249.13</v>
      </c>
      <c r="AP108" s="102">
        <v>408.1</v>
      </c>
      <c r="AQ108" s="102">
        <v>36.138680202240003</v>
      </c>
      <c r="AR108" s="102">
        <v>59.836476609002808</v>
      </c>
      <c r="AS108" s="102">
        <v>190.3971320530944</v>
      </c>
      <c r="AT108" s="102">
        <v>485.01</v>
      </c>
      <c r="AU108" s="102">
        <v>425.19519542770757</v>
      </c>
      <c r="AV108" s="102">
        <v>21.391178382335998</v>
      </c>
      <c r="AW108" s="102">
        <v>220.34</v>
      </c>
      <c r="AX108" s="102">
        <v>351.08472236133514</v>
      </c>
      <c r="AY108" s="102">
        <v>497.84833634330482</v>
      </c>
      <c r="AZ108" s="102">
        <v>332.72815042423883</v>
      </c>
      <c r="BA108" s="102">
        <v>173.32</v>
      </c>
      <c r="BB108" s="102">
        <v>65.080287215022807</v>
      </c>
      <c r="BC108" s="102">
        <v>267.52199999999999</v>
      </c>
      <c r="BD108" s="102">
        <v>294.06</v>
      </c>
      <c r="BE108" s="102">
        <v>410.02</v>
      </c>
      <c r="BF108" s="102">
        <v>64.9161250547712</v>
      </c>
      <c r="BG108" s="102">
        <v>51.960434276351997</v>
      </c>
      <c r="BH108" s="102">
        <v>306.04000000000002</v>
      </c>
      <c r="BI108" s="102">
        <v>118.61</v>
      </c>
      <c r="BJ108" s="102">
        <v>119.34</v>
      </c>
      <c r="BK108" s="102">
        <v>283.66412994877442</v>
      </c>
      <c r="BL108" s="102">
        <v>208.15566907484163</v>
      </c>
      <c r="BM108" s="102">
        <v>553.10182284070845</v>
      </c>
      <c r="BN108" s="102">
        <v>164.40231342796798</v>
      </c>
      <c r="BO108" s="102">
        <v>203.36429542840321</v>
      </c>
      <c r="BP108" s="102">
        <v>343.06725528435635</v>
      </c>
      <c r="BQ108" s="102">
        <v>126.92</v>
      </c>
      <c r="BR108" s="102">
        <v>94.268242715135997</v>
      </c>
      <c r="BS108" s="102">
        <v>2854.01</v>
      </c>
      <c r="BT108" s="102">
        <v>212.46310772520962</v>
      </c>
      <c r="BU108" s="102">
        <v>101.35590932040562</v>
      </c>
      <c r="BV108" s="102">
        <v>76.162398896640013</v>
      </c>
      <c r="BW108" s="102">
        <v>101.64616547850238</v>
      </c>
      <c r="BX108" s="102">
        <v>46.787336042496001</v>
      </c>
      <c r="BY108" s="102">
        <v>164.01</v>
      </c>
      <c r="BZ108" s="102">
        <v>133.28758770001917</v>
      </c>
      <c r="CA108" s="102">
        <v>94.313090139340801</v>
      </c>
      <c r="CB108" s="102">
        <v>89.40386163394561</v>
      </c>
      <c r="CC108" s="102">
        <v>157.85</v>
      </c>
      <c r="CD108" s="102">
        <v>1.2494700976127999</v>
      </c>
      <c r="CE108" s="102">
        <v>1.4038286739456001</v>
      </c>
      <c r="CF108" s="102">
        <v>2.6502744494379997</v>
      </c>
      <c r="CG108" s="102">
        <v>1.1305722753024001</v>
      </c>
      <c r="CH108" s="102">
        <v>5.6820643504128006</v>
      </c>
      <c r="CI108" s="102">
        <v>5.0719307885567995</v>
      </c>
      <c r="CJ108" s="102">
        <v>8.4313157505024012</v>
      </c>
      <c r="CK108" s="102">
        <v>7.7616287095508003</v>
      </c>
      <c r="CL108" s="102">
        <v>3.9549170368512003</v>
      </c>
      <c r="CM108" s="102">
        <v>1.9962318587904002</v>
      </c>
      <c r="CN108" s="102">
        <v>3.3283051972183997</v>
      </c>
      <c r="CO108" s="102">
        <v>12.819062579097601</v>
      </c>
      <c r="CP108" s="102">
        <v>12.9713352287232</v>
      </c>
      <c r="CQ108" s="102">
        <v>12.811866403562799</v>
      </c>
      <c r="CR108" s="102">
        <v>4.5994683893760007</v>
      </c>
      <c r="CS108" s="102">
        <v>4.6203276564480005</v>
      </c>
      <c r="CT108" s="102">
        <v>43.489485918412797</v>
      </c>
      <c r="CU108" s="102">
        <v>43.0493553831936</v>
      </c>
      <c r="CV108" s="102">
        <v>43.508259258777599</v>
      </c>
      <c r="CW108" s="102">
        <v>1.9034081203200002</v>
      </c>
    </row>
    <row r="109" spans="1:101" s="107" customFormat="1" ht="18.75" x14ac:dyDescent="0.3">
      <c r="A109" s="126" t="s">
        <v>181</v>
      </c>
      <c r="B109" s="127" t="s">
        <v>102</v>
      </c>
      <c r="C109" s="128">
        <v>87344.634675423556</v>
      </c>
      <c r="D109" s="128">
        <v>2505.8449999999998</v>
      </c>
      <c r="E109" s="128">
        <v>29.068848541922002</v>
      </c>
      <c r="F109" s="128">
        <v>208.4947872462424</v>
      </c>
      <c r="G109" s="128">
        <v>537.39598524464202</v>
      </c>
      <c r="H109" s="128">
        <v>976.79999642798953</v>
      </c>
      <c r="I109" s="128">
        <v>2919.7216160224857</v>
      </c>
      <c r="J109" s="128">
        <v>51.306421189930404</v>
      </c>
      <c r="K109" s="128">
        <v>53.511705527449607</v>
      </c>
      <c r="L109" s="128">
        <v>47.014083272695203</v>
      </c>
      <c r="M109" s="128">
        <v>1276.0968939408297</v>
      </c>
      <c r="N109" s="128">
        <v>1894.4580659260844</v>
      </c>
      <c r="O109" s="128">
        <v>2848.6766460652757</v>
      </c>
      <c r="P109" s="128">
        <v>1146.3497820469249</v>
      </c>
      <c r="Q109" s="128">
        <v>88.030695810990807</v>
      </c>
      <c r="R109" s="128">
        <v>304.922451696444</v>
      </c>
      <c r="S109" s="128">
        <v>49.754566783488002</v>
      </c>
      <c r="T109" s="128">
        <v>894.10800186736651</v>
      </c>
      <c r="U109" s="128">
        <v>1918.180804688905</v>
      </c>
      <c r="V109" s="128">
        <v>68.848080297369592</v>
      </c>
      <c r="W109" s="128">
        <v>307.7214289271808</v>
      </c>
      <c r="X109" s="128">
        <v>155.04808520954879</v>
      </c>
      <c r="Y109" s="128">
        <v>805.81137903378362</v>
      </c>
      <c r="Z109" s="128">
        <v>115.63751886704638</v>
      </c>
      <c r="AA109" s="128">
        <v>1322.7825561262166</v>
      </c>
      <c r="AB109" s="128">
        <v>139.77273422254081</v>
      </c>
      <c r="AC109" s="128">
        <v>202.87089974763521</v>
      </c>
      <c r="AD109" s="128">
        <v>750.9</v>
      </c>
      <c r="AE109" s="128">
        <v>1437.15</v>
      </c>
      <c r="AF109" s="128">
        <v>36.307640265523197</v>
      </c>
      <c r="AG109" s="128">
        <v>1323.1477470452012</v>
      </c>
      <c r="AH109" s="128">
        <v>550.51</v>
      </c>
      <c r="AI109" s="128">
        <v>2695.4491566032684</v>
      </c>
      <c r="AJ109" s="128">
        <v>486.703451128094</v>
      </c>
      <c r="AK109" s="128">
        <v>36.4161084542976</v>
      </c>
      <c r="AL109" s="128">
        <v>36.289909888512</v>
      </c>
      <c r="AM109" s="128">
        <v>64.908615175415207</v>
      </c>
      <c r="AN109" s="128">
        <v>0</v>
      </c>
      <c r="AO109" s="128">
        <v>527.22</v>
      </c>
      <c r="AP109" s="128">
        <v>2147.36</v>
      </c>
      <c r="AQ109" s="128">
        <v>41.128680202240005</v>
      </c>
      <c r="AR109" s="128">
        <v>111.6764766090028</v>
      </c>
      <c r="AS109" s="128">
        <v>544.98713205309446</v>
      </c>
      <c r="AT109" s="128">
        <v>3506.7849999999999</v>
      </c>
      <c r="AU109" s="128">
        <v>3102.7351954277065</v>
      </c>
      <c r="AV109" s="128">
        <v>356.791178382336</v>
      </c>
      <c r="AW109" s="128">
        <v>1399.6649999999997</v>
      </c>
      <c r="AX109" s="128">
        <v>1764.4697223613352</v>
      </c>
      <c r="AY109" s="128">
        <v>3561.3063363433043</v>
      </c>
      <c r="AZ109" s="128">
        <v>1529.7081504242387</v>
      </c>
      <c r="BA109" s="128">
        <v>442.39</v>
      </c>
      <c r="BB109" s="128">
        <v>505.64028721502279</v>
      </c>
      <c r="BC109" s="128">
        <v>1412.8219999999999</v>
      </c>
      <c r="BD109" s="128">
        <v>2132.8799999999997</v>
      </c>
      <c r="BE109" s="128">
        <v>4970.3500000000004</v>
      </c>
      <c r="BF109" s="128">
        <v>346.97612505477116</v>
      </c>
      <c r="BG109" s="128">
        <v>436.72043427635197</v>
      </c>
      <c r="BH109" s="128">
        <v>1854.46</v>
      </c>
      <c r="BI109" s="128">
        <v>2744.2799999999997</v>
      </c>
      <c r="BJ109" s="128">
        <v>561.23</v>
      </c>
      <c r="BK109" s="128">
        <v>2249.9091299487745</v>
      </c>
      <c r="BL109" s="128">
        <v>3149.3156690748415</v>
      </c>
      <c r="BM109" s="128">
        <v>2817.5268228407081</v>
      </c>
      <c r="BN109" s="128">
        <v>741.88231342796803</v>
      </c>
      <c r="BO109" s="128">
        <v>1694.2842954284033</v>
      </c>
      <c r="BP109" s="128">
        <v>2802.9422552843562</v>
      </c>
      <c r="BQ109" s="128">
        <v>916.34</v>
      </c>
      <c r="BR109" s="128">
        <v>256.67824271513598</v>
      </c>
      <c r="BS109" s="128">
        <v>3248.05</v>
      </c>
      <c r="BT109" s="128">
        <v>976.52310772520957</v>
      </c>
      <c r="BU109" s="128">
        <v>106.68590932040561</v>
      </c>
      <c r="BV109" s="128">
        <v>76.162398896640013</v>
      </c>
      <c r="BW109" s="128">
        <v>108.66616547850238</v>
      </c>
      <c r="BX109" s="128">
        <v>103.78733604249601</v>
      </c>
      <c r="BY109" s="128">
        <v>729.74</v>
      </c>
      <c r="BZ109" s="128">
        <v>212.15758770001918</v>
      </c>
      <c r="CA109" s="128">
        <v>1569.4130901393407</v>
      </c>
      <c r="CB109" s="128">
        <v>1805.3838616339456</v>
      </c>
      <c r="CC109" s="128">
        <v>973.15</v>
      </c>
      <c r="CD109" s="128">
        <v>1.2494700976127999</v>
      </c>
      <c r="CE109" s="128">
        <v>1.4038286739456001</v>
      </c>
      <c r="CF109" s="128">
        <v>2.6502744494379997</v>
      </c>
      <c r="CG109" s="128">
        <v>1.1305722753024001</v>
      </c>
      <c r="CH109" s="128">
        <v>5.6820643504128006</v>
      </c>
      <c r="CI109" s="128">
        <v>5.0719307885567995</v>
      </c>
      <c r="CJ109" s="128">
        <v>8.4313157505024012</v>
      </c>
      <c r="CK109" s="128">
        <v>7.7616287095508003</v>
      </c>
      <c r="CL109" s="128">
        <v>3.9549170368512003</v>
      </c>
      <c r="CM109" s="128">
        <v>1.9962318587904002</v>
      </c>
      <c r="CN109" s="128">
        <v>3.3283051972183997</v>
      </c>
      <c r="CO109" s="128">
        <v>48.679062579097604</v>
      </c>
      <c r="CP109" s="128">
        <v>129.30133522872319</v>
      </c>
      <c r="CQ109" s="128">
        <v>156.63186640356278</v>
      </c>
      <c r="CR109" s="128">
        <v>4.5994683893760007</v>
      </c>
      <c r="CS109" s="128">
        <v>4.6203276564480005</v>
      </c>
      <c r="CT109" s="128">
        <v>43.489485918412797</v>
      </c>
      <c r="CU109" s="128">
        <v>43.0493553831936</v>
      </c>
      <c r="CV109" s="128">
        <v>43.508259258777599</v>
      </c>
      <c r="CW109" s="128">
        <v>1.9034081203200002</v>
      </c>
    </row>
    <row r="110" spans="1:101" x14ac:dyDescent="0.25">
      <c r="A110" s="103"/>
      <c r="B110" s="104"/>
      <c r="C110" s="105"/>
      <c r="BE110" s="106"/>
      <c r="BG110" s="107"/>
      <c r="BK110" s="107"/>
      <c r="BM110" s="107"/>
      <c r="BY110" s="107"/>
      <c r="BZ110" s="107"/>
    </row>
  </sheetData>
  <mergeCells count="119">
    <mergeCell ref="A73:A74"/>
    <mergeCell ref="A75:A76"/>
    <mergeCell ref="A77:A78"/>
    <mergeCell ref="A79:A80"/>
    <mergeCell ref="A81:A82"/>
    <mergeCell ref="A44:A45"/>
    <mergeCell ref="A46:A47"/>
    <mergeCell ref="A48:A49"/>
    <mergeCell ref="A57:A58"/>
    <mergeCell ref="A63:A64"/>
    <mergeCell ref="A71:A72"/>
    <mergeCell ref="A28:A29"/>
    <mergeCell ref="A30:A31"/>
    <mergeCell ref="A32:A34"/>
    <mergeCell ref="A35:A37"/>
    <mergeCell ref="A38:A40"/>
    <mergeCell ref="A41:A43"/>
    <mergeCell ref="CR4:CR6"/>
    <mergeCell ref="CS4:CS6"/>
    <mergeCell ref="CT4:CT6"/>
    <mergeCell ref="CF4:CF6"/>
    <mergeCell ref="CG4:CG6"/>
    <mergeCell ref="CH4:CH6"/>
    <mergeCell ref="CI4:CI6"/>
    <mergeCell ref="CJ4:CJ6"/>
    <mergeCell ref="CK4:CK6"/>
    <mergeCell ref="BZ4:BZ6"/>
    <mergeCell ref="CA4:CA6"/>
    <mergeCell ref="CB4:CB6"/>
    <mergeCell ref="CC4:CC6"/>
    <mergeCell ref="CD4:CD6"/>
    <mergeCell ref="CE4:CE6"/>
    <mergeCell ref="BT4:BT6"/>
    <mergeCell ref="BU4:BU6"/>
    <mergeCell ref="BV4:BV6"/>
    <mergeCell ref="CU4:CU6"/>
    <mergeCell ref="CV4:CV6"/>
    <mergeCell ref="CW4:CW6"/>
    <mergeCell ref="CL4:CL6"/>
    <mergeCell ref="CM4:CM6"/>
    <mergeCell ref="CN4:CN6"/>
    <mergeCell ref="CO4:CO6"/>
    <mergeCell ref="CP4:CP6"/>
    <mergeCell ref="CQ4:CQ6"/>
    <mergeCell ref="BW4:BW6"/>
    <mergeCell ref="BX4:BX6"/>
    <mergeCell ref="BY4:BY6"/>
    <mergeCell ref="BN4:BN6"/>
    <mergeCell ref="BO4:BO6"/>
    <mergeCell ref="BP4:BP6"/>
    <mergeCell ref="BQ4:BQ6"/>
    <mergeCell ref="BR4:BR6"/>
    <mergeCell ref="BS4:BS6"/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J4:AJ6"/>
    <mergeCell ref="AK4:AK6"/>
    <mergeCell ref="AL4:AL6"/>
    <mergeCell ref="AM4:AM6"/>
    <mergeCell ref="AN4:AN6"/>
    <mergeCell ref="AO4:AO6"/>
    <mergeCell ref="AD4:AD6"/>
    <mergeCell ref="AE4:AE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R4:R6"/>
    <mergeCell ref="S4:S6"/>
    <mergeCell ref="T4:T6"/>
    <mergeCell ref="U4:U6"/>
    <mergeCell ref="V4:V6"/>
    <mergeCell ref="W4:W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A2:C2"/>
    <mergeCell ref="A4:A6"/>
    <mergeCell ref="B4:B6"/>
    <mergeCell ref="C4:C6"/>
    <mergeCell ref="D4:D6"/>
    <mergeCell ref="E4:E6"/>
    <mergeCell ref="L4:L6"/>
    <mergeCell ref="M4:M6"/>
    <mergeCell ref="N4:N6"/>
  </mergeCells>
  <pageMargins left="0.7" right="0.7" top="0.75" bottom="0.75" header="0.3" footer="0.3"/>
  <pageSetup paperSize="9" scale="56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2023-01-27T12:24:03Z</cp:lastPrinted>
  <dcterms:created xsi:type="dcterms:W3CDTF">2023-01-18T09:23:26Z</dcterms:created>
  <dcterms:modified xsi:type="dcterms:W3CDTF">2023-02-16T06:46:13Z</dcterms:modified>
</cp:coreProperties>
</file>